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825" yWindow="-15" windowWidth="12675" windowHeight="11760" tabRatio="945" firstSheet="1" activeTab="9"/>
  </bookViews>
  <sheets>
    <sheet name="Income Statement" sheetId="1" r:id="rId1"/>
    <sheet name="Balance Sheet" sheetId="4" r:id="rId2"/>
    <sheet name="Liquidity Ratios" sheetId="27" r:id="rId3"/>
    <sheet name="Efficiency Ratios" sheetId="28" r:id="rId4"/>
    <sheet name="Leverge Ratios" sheetId="29" r:id="rId5"/>
    <sheet name="Coverage Ratios" sheetId="32" r:id="rId6"/>
    <sheet name="Profitability Ratios" sheetId="31" r:id="rId7"/>
    <sheet name="MV Ratios" sheetId="30" r:id="rId8"/>
    <sheet name="Du Pont ROE and Z score" sheetId="33" r:id="rId9"/>
    <sheet name="Analysis" sheetId="38" r:id="rId10"/>
    <sheet name="Automatic Analysis" sheetId="37" r:id="rId11"/>
    <sheet name="EVA" sheetId="20" r:id="rId12"/>
  </sheets>
  <calcPr calcId="145621"/>
</workbook>
</file>

<file path=xl/calcChain.xml><?xml version="1.0" encoding="utf-8"?>
<calcChain xmlns="http://schemas.openxmlformats.org/spreadsheetml/2006/main">
  <c r="I12" i="1" l="1"/>
  <c r="E2" i="4"/>
  <c r="F2" i="1"/>
  <c r="I6" i="1"/>
  <c r="E23" i="38" s="1"/>
  <c r="I8" i="1"/>
  <c r="E24" i="38" s="1"/>
  <c r="I9" i="1"/>
  <c r="I10" i="1"/>
  <c r="I5" i="1"/>
  <c r="E9" i="38" s="1"/>
  <c r="H16" i="4"/>
  <c r="H17" i="4"/>
  <c r="H19" i="4"/>
  <c r="E14" i="38" s="1"/>
  <c r="H21" i="4"/>
  <c r="H22" i="4"/>
  <c r="H15" i="4"/>
  <c r="H6" i="4"/>
  <c r="H8" i="4"/>
  <c r="E5" i="38" s="1"/>
  <c r="H10" i="4"/>
  <c r="H7" i="4"/>
  <c r="E8" i="38" l="1"/>
  <c r="E5" i="4"/>
  <c r="E6" i="4"/>
  <c r="E7" i="4"/>
  <c r="E8" i="4"/>
  <c r="E9" i="4"/>
  <c r="E10" i="4"/>
  <c r="E11" i="4"/>
  <c r="E12" i="4"/>
  <c r="E13" i="4"/>
  <c r="E14" i="4"/>
  <c r="E15" i="4"/>
  <c r="E16" i="4"/>
  <c r="E17" i="4"/>
  <c r="E18" i="4"/>
  <c r="E19" i="4"/>
  <c r="E20" i="4"/>
  <c r="E21" i="4"/>
  <c r="E22" i="4"/>
  <c r="E23" i="4"/>
  <c r="E24" i="4"/>
  <c r="H8" i="1"/>
  <c r="H5" i="1"/>
  <c r="H6" i="1"/>
  <c r="H9" i="1"/>
  <c r="H10" i="1"/>
  <c r="H12" i="1"/>
  <c r="G6" i="1"/>
  <c r="G8" i="1"/>
  <c r="G9" i="1"/>
  <c r="G10" i="1"/>
  <c r="G12" i="1"/>
  <c r="G5" i="1"/>
  <c r="F1" i="1"/>
  <c r="G4" i="1"/>
  <c r="F5" i="1"/>
  <c r="F6" i="1"/>
  <c r="F7" i="1"/>
  <c r="F8" i="1"/>
  <c r="F9" i="1"/>
  <c r="F10" i="1"/>
  <c r="F11" i="1"/>
  <c r="F12" i="1"/>
  <c r="F13" i="1"/>
  <c r="F14" i="1"/>
  <c r="F15" i="1"/>
  <c r="F17" i="1"/>
  <c r="F18" i="1"/>
  <c r="G18" i="1"/>
  <c r="C44" i="38"/>
  <c r="B44" i="38"/>
  <c r="D27" i="38"/>
  <c r="D18" i="38"/>
  <c r="D16" i="38" s="1"/>
  <c r="D17" i="38"/>
  <c r="D10" i="38"/>
  <c r="C10" i="38"/>
  <c r="B10" i="38"/>
  <c r="C9" i="38"/>
  <c r="B9" i="38"/>
  <c r="C8" i="38"/>
  <c r="B8" i="38"/>
  <c r="B3" i="38"/>
  <c r="D3" i="38" s="1"/>
  <c r="A1" i="38"/>
  <c r="F3" i="20"/>
  <c r="B3" i="20"/>
  <c r="F3" i="37"/>
  <c r="B3" i="37"/>
  <c r="F3" i="33"/>
  <c r="B3" i="33"/>
  <c r="E3" i="30"/>
  <c r="B3" i="30"/>
  <c r="E3" i="31"/>
  <c r="B3" i="31"/>
  <c r="E3" i="32"/>
  <c r="B3" i="32"/>
  <c r="E3" i="29"/>
  <c r="B3" i="29"/>
  <c r="E3" i="28"/>
  <c r="B3" i="28"/>
  <c r="E3" i="27"/>
  <c r="B3" i="27"/>
  <c r="B5" i="4"/>
  <c r="F5" i="4" s="1"/>
  <c r="C4" i="20"/>
  <c r="B4" i="20"/>
  <c r="B28" i="30"/>
  <c r="B6" i="28" l="1"/>
  <c r="B6" i="29" s="1"/>
  <c r="B6" i="32" s="1"/>
  <c r="B6" i="31" s="1"/>
  <c r="B6" i="30" s="1"/>
  <c r="B5" i="28"/>
  <c r="B5" i="29" s="1"/>
  <c r="B5" i="32" s="1"/>
  <c r="B5" i="31" s="1"/>
  <c r="B5" i="30" s="1"/>
  <c r="G41" i="37"/>
  <c r="F41" i="37"/>
  <c r="C40" i="37"/>
  <c r="B40" i="37"/>
  <c r="C39" i="37"/>
  <c r="B39" i="37"/>
  <c r="C35" i="37"/>
  <c r="B35" i="37"/>
  <c r="C34" i="37"/>
  <c r="B34" i="37"/>
  <c r="C31" i="37"/>
  <c r="B31" i="37"/>
  <c r="H27" i="37"/>
  <c r="H18" i="37"/>
  <c r="H16" i="37" s="1"/>
  <c r="H17" i="37"/>
  <c r="H10" i="37"/>
  <c r="G10" i="37"/>
  <c r="F10" i="37"/>
  <c r="G9" i="37"/>
  <c r="F9" i="37"/>
  <c r="G8" i="37"/>
  <c r="F8" i="37"/>
  <c r="E1" i="37"/>
  <c r="C41" i="33"/>
  <c r="C41" i="37" s="1"/>
  <c r="B41" i="33"/>
  <c r="B41" i="37" s="1"/>
  <c r="F41" i="33"/>
  <c r="G41" i="33"/>
  <c r="F37" i="30"/>
  <c r="E37" i="30"/>
  <c r="B23" i="30"/>
  <c r="B23" i="37" s="1"/>
  <c r="C23" i="30"/>
  <c r="C23" i="37" s="1"/>
  <c r="B24" i="30"/>
  <c r="B24" i="37" s="1"/>
  <c r="C24" i="30"/>
  <c r="C24" i="37" s="1"/>
  <c r="B25" i="30"/>
  <c r="B25" i="37" s="1"/>
  <c r="C25" i="30"/>
  <c r="C25" i="37" s="1"/>
  <c r="B26" i="30"/>
  <c r="B26" i="37" s="1"/>
  <c r="C26" i="30"/>
  <c r="C26" i="37" s="1"/>
  <c r="B27" i="30"/>
  <c r="B27" i="37" s="1"/>
  <c r="C27" i="30"/>
  <c r="C27" i="37" s="1"/>
  <c r="B28" i="33"/>
  <c r="C28" i="30"/>
  <c r="C28" i="37" s="1"/>
  <c r="B20" i="31"/>
  <c r="B20" i="30" s="1"/>
  <c r="C20" i="31"/>
  <c r="C20" i="30" s="1"/>
  <c r="B21" i="31"/>
  <c r="B21" i="30" s="1"/>
  <c r="C21" i="31"/>
  <c r="C21" i="30" s="1"/>
  <c r="B14" i="32"/>
  <c r="B14" i="31" s="1"/>
  <c r="B14" i="30" s="1"/>
  <c r="C14" i="32"/>
  <c r="C14" i="31" s="1"/>
  <c r="C14" i="30" s="1"/>
  <c r="B15" i="32"/>
  <c r="B15" i="31" s="1"/>
  <c r="B15" i="30" s="1"/>
  <c r="C15" i="32"/>
  <c r="C15" i="31" s="1"/>
  <c r="C15" i="30" s="1"/>
  <c r="B16" i="32"/>
  <c r="B16" i="31" s="1"/>
  <c r="B16" i="30" s="1"/>
  <c r="C16" i="32"/>
  <c r="C16" i="31" s="1"/>
  <c r="C16" i="30" s="1"/>
  <c r="B17" i="32"/>
  <c r="B17" i="31" s="1"/>
  <c r="B17" i="30" s="1"/>
  <c r="C17" i="32"/>
  <c r="C17" i="31" s="1"/>
  <c r="C17" i="30" s="1"/>
  <c r="B18" i="32"/>
  <c r="B18" i="31" s="1"/>
  <c r="B18" i="30" s="1"/>
  <c r="C18" i="32"/>
  <c r="C18" i="31" s="1"/>
  <c r="C18" i="30" s="1"/>
  <c r="B8" i="29"/>
  <c r="B8" i="32" s="1"/>
  <c r="B8" i="31" s="1"/>
  <c r="B8" i="30" s="1"/>
  <c r="C8" i="29"/>
  <c r="C8" i="32" s="1"/>
  <c r="C8" i="31" s="1"/>
  <c r="C8" i="30" s="1"/>
  <c r="B9" i="29"/>
  <c r="B9" i="32" s="1"/>
  <c r="B9" i="31" s="1"/>
  <c r="B9" i="30" s="1"/>
  <c r="C9" i="29"/>
  <c r="C9" i="32" s="1"/>
  <c r="C9" i="31" s="1"/>
  <c r="C9" i="30" s="1"/>
  <c r="B10" i="29"/>
  <c r="B10" i="32" s="1"/>
  <c r="B10" i="31" s="1"/>
  <c r="B10" i="30" s="1"/>
  <c r="C10" i="29"/>
  <c r="C10" i="32" s="1"/>
  <c r="C10" i="31" s="1"/>
  <c r="C10" i="30" s="1"/>
  <c r="B11" i="29"/>
  <c r="B11" i="32" s="1"/>
  <c r="B11" i="31" s="1"/>
  <c r="B11" i="30" s="1"/>
  <c r="C11" i="29"/>
  <c r="C11" i="32" s="1"/>
  <c r="C11" i="31" s="1"/>
  <c r="C11" i="30" s="1"/>
  <c r="B12" i="29"/>
  <c r="B12" i="32" s="1"/>
  <c r="B12" i="31" s="1"/>
  <c r="B12" i="30" s="1"/>
  <c r="C12" i="29"/>
  <c r="C12" i="32" s="1"/>
  <c r="C12" i="31" s="1"/>
  <c r="C12" i="30" s="1"/>
  <c r="C5" i="28"/>
  <c r="C5" i="29" s="1"/>
  <c r="C5" i="32" s="1"/>
  <c r="C5" i="31" s="1"/>
  <c r="C5" i="30" s="1"/>
  <c r="C6" i="28"/>
  <c r="C6" i="29" s="1"/>
  <c r="C6" i="32" s="1"/>
  <c r="C6" i="31" s="1"/>
  <c r="C6" i="30" s="1"/>
  <c r="G10" i="33"/>
  <c r="F10" i="33"/>
  <c r="G9" i="33"/>
  <c r="F9" i="33"/>
  <c r="G8" i="33"/>
  <c r="F8" i="33"/>
  <c r="E1" i="33"/>
  <c r="F10" i="32"/>
  <c r="E10" i="32"/>
  <c r="F9" i="32"/>
  <c r="E9" i="32"/>
  <c r="F8" i="32"/>
  <c r="E8" i="32"/>
  <c r="D1" i="32"/>
  <c r="F10" i="31"/>
  <c r="E10" i="31"/>
  <c r="F9" i="31"/>
  <c r="E9" i="31"/>
  <c r="F8" i="31"/>
  <c r="E8" i="31"/>
  <c r="D1" i="31"/>
  <c r="F10" i="30"/>
  <c r="E10" i="30"/>
  <c r="F9" i="30"/>
  <c r="E9" i="30"/>
  <c r="F8" i="30"/>
  <c r="E8" i="30"/>
  <c r="D1" i="30"/>
  <c r="F10" i="29"/>
  <c r="E10" i="29"/>
  <c r="F9" i="29"/>
  <c r="E9" i="29"/>
  <c r="F8" i="29"/>
  <c r="E8" i="29"/>
  <c r="D1" i="29"/>
  <c r="F10" i="28"/>
  <c r="E10" i="28"/>
  <c r="F9" i="28"/>
  <c r="E9" i="28"/>
  <c r="F8" i="28"/>
  <c r="E8" i="28"/>
  <c r="D1" i="28"/>
  <c r="D1" i="27"/>
  <c r="J10" i="37" l="1"/>
  <c r="J8" i="37"/>
  <c r="B25" i="33"/>
  <c r="C26" i="33"/>
  <c r="B27" i="33"/>
  <c r="B23" i="33"/>
  <c r="C28" i="33"/>
  <c r="C24" i="33"/>
  <c r="C27" i="33"/>
  <c r="C25" i="33"/>
  <c r="C23" i="33"/>
  <c r="B28" i="37"/>
  <c r="B26" i="33"/>
  <c r="B24" i="33"/>
  <c r="C17" i="37"/>
  <c r="C17" i="33"/>
  <c r="C15" i="37"/>
  <c r="C15" i="33"/>
  <c r="C12" i="33"/>
  <c r="C12" i="37"/>
  <c r="C10" i="37"/>
  <c r="C10" i="33"/>
  <c r="C8" i="33"/>
  <c r="C8" i="37"/>
  <c r="C20" i="37"/>
  <c r="C20" i="33"/>
  <c r="B18" i="33"/>
  <c r="B18" i="37"/>
  <c r="B16" i="33"/>
  <c r="B16" i="37"/>
  <c r="B14" i="33"/>
  <c r="B14" i="37"/>
  <c r="B11" i="33"/>
  <c r="B11" i="37"/>
  <c r="B9" i="33"/>
  <c r="B9" i="37"/>
  <c r="B21" i="37"/>
  <c r="B21" i="33"/>
  <c r="C18" i="37"/>
  <c r="C18" i="33"/>
  <c r="C16" i="37"/>
  <c r="C16" i="33"/>
  <c r="C14" i="37"/>
  <c r="C14" i="33"/>
  <c r="C11" i="37"/>
  <c r="C11" i="33"/>
  <c r="C9" i="37"/>
  <c r="C9" i="33"/>
  <c r="C21" i="33"/>
  <c r="C21" i="37"/>
  <c r="B17" i="37"/>
  <c r="B17" i="33"/>
  <c r="B15" i="33"/>
  <c r="B15" i="37"/>
  <c r="B12" i="37"/>
  <c r="B12" i="33"/>
  <c r="B10" i="33"/>
  <c r="B10" i="37"/>
  <c r="B8" i="37"/>
  <c r="B8" i="33"/>
  <c r="B20" i="37"/>
  <c r="B20" i="33"/>
  <c r="C6" i="37"/>
  <c r="C6" i="33"/>
  <c r="B6" i="33"/>
  <c r="B6" i="37"/>
  <c r="C5" i="37"/>
  <c r="C5" i="33"/>
  <c r="B5" i="37"/>
  <c r="B5" i="33"/>
  <c r="K8" i="37"/>
  <c r="K9" i="37"/>
  <c r="I10" i="37"/>
  <c r="K10" i="37"/>
  <c r="H3" i="37"/>
  <c r="I8" i="37"/>
  <c r="I9" i="37"/>
  <c r="J9" i="37"/>
  <c r="B11" i="4"/>
  <c r="H11" i="4" s="1"/>
  <c r="B7" i="1"/>
  <c r="I7" i="1" s="1"/>
  <c r="B9" i="4"/>
  <c r="C9" i="4"/>
  <c r="C12" i="4"/>
  <c r="B18" i="4"/>
  <c r="B20" i="4" s="1"/>
  <c r="C18" i="4"/>
  <c r="B23" i="4"/>
  <c r="E31" i="30" s="1"/>
  <c r="C23" i="4"/>
  <c r="C7" i="1"/>
  <c r="C4" i="1"/>
  <c r="A3" i="1"/>
  <c r="F3" i="1" s="1"/>
  <c r="G4" i="20"/>
  <c r="F4" i="20"/>
  <c r="A3" i="4"/>
  <c r="E3" i="4" s="1"/>
  <c r="E1" i="20"/>
  <c r="A1" i="4"/>
  <c r="E1" i="4" s="1"/>
  <c r="C5" i="38" l="1"/>
  <c r="C6" i="38"/>
  <c r="G5" i="37"/>
  <c r="G6" i="33"/>
  <c r="G6" i="37"/>
  <c r="F5" i="27"/>
  <c r="G5" i="33"/>
  <c r="F5" i="32"/>
  <c r="F5" i="31"/>
  <c r="F5" i="30"/>
  <c r="F5" i="29"/>
  <c r="F5" i="28"/>
  <c r="F6" i="27"/>
  <c r="F6" i="32"/>
  <c r="F6" i="31"/>
  <c r="F6" i="30"/>
  <c r="F6" i="29"/>
  <c r="F6" i="28"/>
  <c r="C11" i="38"/>
  <c r="G11" i="37"/>
  <c r="G11" i="33"/>
  <c r="F11" i="32"/>
  <c r="F11" i="31"/>
  <c r="F11" i="30"/>
  <c r="F11" i="29"/>
  <c r="F11" i="28"/>
  <c r="H9" i="4"/>
  <c r="E6" i="29"/>
  <c r="F6" i="37"/>
  <c r="E6" i="32"/>
  <c r="B5" i="38"/>
  <c r="E6" i="31"/>
  <c r="E6" i="27"/>
  <c r="E6" i="30"/>
  <c r="E6" i="28"/>
  <c r="B6" i="38"/>
  <c r="F6" i="33"/>
  <c r="E5" i="27"/>
  <c r="E5" i="32"/>
  <c r="E5" i="29"/>
  <c r="F5" i="37"/>
  <c r="F5" i="33"/>
  <c r="E5" i="31"/>
  <c r="E5" i="30"/>
  <c r="E5" i="28"/>
  <c r="B17" i="38"/>
  <c r="E17" i="31"/>
  <c r="E17" i="30"/>
  <c r="E17" i="29"/>
  <c r="F17" i="37"/>
  <c r="F17" i="33"/>
  <c r="E17" i="32"/>
  <c r="H23" i="4"/>
  <c r="B18" i="38"/>
  <c r="B16" i="38"/>
  <c r="B31" i="38"/>
  <c r="F18" i="33"/>
  <c r="F16" i="33"/>
  <c r="E18" i="32"/>
  <c r="E16" i="32"/>
  <c r="E18" i="31"/>
  <c r="E16" i="31"/>
  <c r="E18" i="30"/>
  <c r="E16" i="30"/>
  <c r="E18" i="29"/>
  <c r="E16" i="29"/>
  <c r="F16" i="37"/>
  <c r="F18" i="37"/>
  <c r="C16" i="38"/>
  <c r="C18" i="38"/>
  <c r="G18" i="33"/>
  <c r="G16" i="33"/>
  <c r="F18" i="32"/>
  <c r="F16" i="32"/>
  <c r="F18" i="31"/>
  <c r="F18" i="30"/>
  <c r="F16" i="29"/>
  <c r="C31" i="38"/>
  <c r="G16" i="37"/>
  <c r="G18" i="37"/>
  <c r="F16" i="31"/>
  <c r="F16" i="30"/>
  <c r="F18" i="29"/>
  <c r="F31" i="30"/>
  <c r="H18" i="4"/>
  <c r="C3" i="38"/>
  <c r="A2" i="38" s="1"/>
  <c r="G3" i="20"/>
  <c r="G3" i="37"/>
  <c r="E2" i="37" s="1"/>
  <c r="G3" i="33"/>
  <c r="E2" i="33" s="1"/>
  <c r="F3" i="30"/>
  <c r="D2" i="30" s="1"/>
  <c r="F3" i="31"/>
  <c r="D2" i="31" s="1"/>
  <c r="F3" i="32"/>
  <c r="D2" i="32" s="1"/>
  <c r="F3" i="29"/>
  <c r="D2" i="29" s="1"/>
  <c r="F3" i="28"/>
  <c r="D2" i="28" s="1"/>
  <c r="F3" i="27"/>
  <c r="D2" i="27" s="1"/>
  <c r="C5" i="4"/>
  <c r="G5" i="4" s="1"/>
  <c r="H4" i="1"/>
  <c r="C3" i="31"/>
  <c r="C3" i="28"/>
  <c r="C3" i="20"/>
  <c r="C3" i="37"/>
  <c r="C3" i="33"/>
  <c r="C3" i="30"/>
  <c r="C3" i="32"/>
  <c r="C3" i="29"/>
  <c r="C3" i="27"/>
  <c r="B11" i="1"/>
  <c r="I11" i="1" s="1"/>
  <c r="E20" i="38" s="1"/>
  <c r="G7" i="1"/>
  <c r="B23" i="38"/>
  <c r="E23" i="30"/>
  <c r="E23" i="31"/>
  <c r="F23" i="37"/>
  <c r="F23" i="33"/>
  <c r="C11" i="1"/>
  <c r="C13" i="1" s="1"/>
  <c r="H13" i="1" s="1"/>
  <c r="H7" i="1"/>
  <c r="C23" i="38"/>
  <c r="G23" i="37"/>
  <c r="G23" i="33"/>
  <c r="F23" i="31"/>
  <c r="F23" i="30"/>
  <c r="C13" i="4"/>
  <c r="B12" i="4"/>
  <c r="H12" i="4" s="1"/>
  <c r="G6" i="20"/>
  <c r="G8" i="20" s="1"/>
  <c r="B24" i="4"/>
  <c r="C20" i="4"/>
  <c r="H20" i="4" s="1"/>
  <c r="B13" i="1" l="1"/>
  <c r="G5" i="20"/>
  <c r="F5" i="20"/>
  <c r="J5" i="37"/>
  <c r="G17" i="4"/>
  <c r="G21" i="4"/>
  <c r="G6" i="4"/>
  <c r="G10" i="4"/>
  <c r="C15" i="38"/>
  <c r="G15" i="4"/>
  <c r="G8" i="4"/>
  <c r="G13" i="4"/>
  <c r="G22" i="4"/>
  <c r="G7" i="4"/>
  <c r="G11" i="4"/>
  <c r="C12" i="38"/>
  <c r="G16" i="4"/>
  <c r="G19" i="4"/>
  <c r="G15" i="37"/>
  <c r="G12" i="33"/>
  <c r="F12" i="31"/>
  <c r="G15" i="33"/>
  <c r="F15" i="31"/>
  <c r="F15" i="30"/>
  <c r="F12" i="32"/>
  <c r="F12" i="30"/>
  <c r="F12" i="29"/>
  <c r="F12" i="28"/>
  <c r="G12" i="37"/>
  <c r="F15" i="32"/>
  <c r="F15" i="29"/>
  <c r="J18" i="37"/>
  <c r="K18" i="37"/>
  <c r="I18" i="37"/>
  <c r="C17" i="38"/>
  <c r="C14" i="38"/>
  <c r="G20" i="4"/>
  <c r="G17" i="37"/>
  <c r="I17" i="37" s="1"/>
  <c r="G14" i="33"/>
  <c r="F14" i="32"/>
  <c r="F17" i="32"/>
  <c r="F17" i="29"/>
  <c r="G14" i="37"/>
  <c r="F14" i="31"/>
  <c r="F14" i="30"/>
  <c r="F14" i="29"/>
  <c r="G17" i="33"/>
  <c r="F17" i="31"/>
  <c r="F17" i="30"/>
  <c r="J16" i="37"/>
  <c r="I16" i="37"/>
  <c r="K16" i="37"/>
  <c r="K5" i="37"/>
  <c r="I5" i="37"/>
  <c r="K6" i="37"/>
  <c r="J6" i="37"/>
  <c r="I6" i="37"/>
  <c r="G18" i="4"/>
  <c r="G12" i="4"/>
  <c r="G9" i="4"/>
  <c r="G23" i="4"/>
  <c r="C37" i="38"/>
  <c r="C20" i="38"/>
  <c r="H11" i="1"/>
  <c r="C24" i="38"/>
  <c r="C21" i="38"/>
  <c r="C38" i="38"/>
  <c r="G20" i="37"/>
  <c r="G35" i="33"/>
  <c r="G20" i="33"/>
  <c r="F20" i="32"/>
  <c r="F20" i="31"/>
  <c r="F24" i="30"/>
  <c r="F20" i="30"/>
  <c r="G35" i="37"/>
  <c r="G24" i="37"/>
  <c r="G21" i="37"/>
  <c r="G24" i="33"/>
  <c r="G21" i="33"/>
  <c r="F21" i="32"/>
  <c r="F24" i="31"/>
  <c r="F21" i="31"/>
  <c r="G34" i="37"/>
  <c r="G34" i="33"/>
  <c r="F21" i="30"/>
  <c r="G11" i="1"/>
  <c r="B20" i="38"/>
  <c r="B21" i="38"/>
  <c r="B24" i="38"/>
  <c r="E20" i="30"/>
  <c r="E20" i="32"/>
  <c r="E20" i="31"/>
  <c r="F24" i="37"/>
  <c r="F21" i="37"/>
  <c r="F24" i="33"/>
  <c r="F21" i="33"/>
  <c r="E21" i="32"/>
  <c r="E24" i="31"/>
  <c r="E21" i="31"/>
  <c r="E24" i="30"/>
  <c r="E21" i="30"/>
  <c r="F20" i="37"/>
  <c r="F20" i="33"/>
  <c r="K23" i="37"/>
  <c r="J23" i="37"/>
  <c r="I23" i="37"/>
  <c r="B11" i="38"/>
  <c r="F11" i="33"/>
  <c r="E11" i="32"/>
  <c r="E11" i="30"/>
  <c r="F11" i="37"/>
  <c r="E11" i="28"/>
  <c r="E11" i="31"/>
  <c r="E11" i="29"/>
  <c r="G9" i="20"/>
  <c r="F6" i="20"/>
  <c r="F8" i="20" s="1"/>
  <c r="F9" i="20" s="1"/>
  <c r="B13" i="4"/>
  <c r="C14" i="1"/>
  <c r="C24" i="4"/>
  <c r="G24" i="4" s="1"/>
  <c r="G13" i="1" l="1"/>
  <c r="I13" i="1"/>
  <c r="B14" i="1"/>
  <c r="K17" i="37"/>
  <c r="J17" i="37"/>
  <c r="H24" i="4"/>
  <c r="F12" i="4"/>
  <c r="H13" i="4"/>
  <c r="C15" i="1"/>
  <c r="H14" i="1"/>
  <c r="I24" i="37"/>
  <c r="K24" i="37"/>
  <c r="J24" i="37"/>
  <c r="K20" i="37"/>
  <c r="I20" i="37"/>
  <c r="J20" i="37"/>
  <c r="I21" i="37"/>
  <c r="J21" i="37"/>
  <c r="K21" i="37"/>
  <c r="F16" i="4"/>
  <c r="F21" i="4"/>
  <c r="F9" i="4"/>
  <c r="F13" i="4"/>
  <c r="F8" i="4"/>
  <c r="F15" i="4"/>
  <c r="F19" i="4"/>
  <c r="F24" i="4"/>
  <c r="F7" i="4"/>
  <c r="F18" i="4"/>
  <c r="F23" i="4"/>
  <c r="F17" i="4"/>
  <c r="F22" i="4"/>
  <c r="F10" i="4"/>
  <c r="F6" i="4"/>
  <c r="F20" i="4"/>
  <c r="F11" i="4"/>
  <c r="B38" i="38"/>
  <c r="B14" i="38"/>
  <c r="B37" i="38"/>
  <c r="B15" i="38"/>
  <c r="B12" i="38"/>
  <c r="F14" i="33"/>
  <c r="E14" i="32"/>
  <c r="F15" i="37"/>
  <c r="F12" i="37"/>
  <c r="F34" i="33"/>
  <c r="E14" i="31"/>
  <c r="E14" i="29"/>
  <c r="F14" i="37"/>
  <c r="F35" i="33"/>
  <c r="E15" i="31"/>
  <c r="E12" i="31"/>
  <c r="E15" i="30"/>
  <c r="E12" i="30"/>
  <c r="E15" i="29"/>
  <c r="E12" i="29"/>
  <c r="F35" i="37"/>
  <c r="F34" i="37"/>
  <c r="F15" i="33"/>
  <c r="F12" i="33"/>
  <c r="E15" i="32"/>
  <c r="E12" i="32"/>
  <c r="E14" i="30"/>
  <c r="E12" i="28"/>
  <c r="I11" i="37"/>
  <c r="J11" i="37"/>
  <c r="K11" i="37"/>
  <c r="G14" i="1" l="1"/>
  <c r="I14" i="1"/>
  <c r="B15" i="1"/>
  <c r="C30" i="38"/>
  <c r="C27" i="38"/>
  <c r="C25" i="38"/>
  <c r="C34" i="38" s="1"/>
  <c r="C26" i="38"/>
  <c r="C28" i="38"/>
  <c r="H15" i="1"/>
  <c r="G25" i="37"/>
  <c r="G31" i="37" s="1"/>
  <c r="F30" i="30"/>
  <c r="G25" i="33"/>
  <c r="G31" i="33" s="1"/>
  <c r="F25" i="31"/>
  <c r="F27" i="30"/>
  <c r="F27" i="31"/>
  <c r="G26" i="37"/>
  <c r="G28" i="33"/>
  <c r="G26" i="33"/>
  <c r="F28" i="31"/>
  <c r="F26" i="31"/>
  <c r="F25" i="30"/>
  <c r="G28" i="37"/>
  <c r="F28" i="30"/>
  <c r="F26" i="30"/>
  <c r="G27" i="37"/>
  <c r="G27" i="33"/>
  <c r="J12" i="37"/>
  <c r="K12" i="37"/>
  <c r="I12" i="37"/>
  <c r="I14" i="37"/>
  <c r="J14" i="37"/>
  <c r="K14" i="37"/>
  <c r="I15" i="37"/>
  <c r="K15" i="37"/>
  <c r="J15" i="37"/>
  <c r="I15" i="1" l="1"/>
  <c r="B25" i="38"/>
  <c r="B34" i="38" s="1"/>
  <c r="E28" i="31"/>
  <c r="E30" i="30"/>
  <c r="E27" i="31"/>
  <c r="F26" i="33"/>
  <c r="E26" i="30"/>
  <c r="E26" i="31"/>
  <c r="B28" i="38"/>
  <c r="E25" i="31"/>
  <c r="F27" i="37"/>
  <c r="J27" i="37" s="1"/>
  <c r="G15" i="1"/>
  <c r="F28" i="33"/>
  <c r="F28" i="37"/>
  <c r="I28" i="37" s="1"/>
  <c r="F27" i="33"/>
  <c r="E27" i="30"/>
  <c r="F26" i="37"/>
  <c r="B27" i="38"/>
  <c r="E25" i="30"/>
  <c r="E28" i="30"/>
  <c r="F25" i="37"/>
  <c r="B30" i="38"/>
  <c r="F25" i="33"/>
  <c r="F31" i="33" s="1"/>
  <c r="B26" i="38"/>
  <c r="J26" i="37"/>
  <c r="K28" i="37"/>
  <c r="K26" i="37"/>
  <c r="I26" i="37"/>
  <c r="K27" i="37"/>
  <c r="K25" i="37"/>
  <c r="J25" i="37"/>
  <c r="I27" i="37" l="1"/>
  <c r="J28" i="37"/>
  <c r="F31" i="37"/>
  <c r="I25" i="37"/>
</calcChain>
</file>

<file path=xl/comments1.xml><?xml version="1.0" encoding="utf-8"?>
<comments xmlns="http://schemas.openxmlformats.org/spreadsheetml/2006/main">
  <authors>
    <author>Hesham Merdad</author>
  </authors>
  <commentList>
    <comment ref="A8" authorId="0">
      <text>
        <r>
          <rPr>
            <b/>
            <sz val="9"/>
            <color indexed="81"/>
            <rFont val="Tahoma"/>
            <family val="2"/>
          </rPr>
          <t>Use CGS</t>
        </r>
      </text>
    </comment>
  </commentList>
</comments>
</file>

<file path=xl/comments2.xml><?xml version="1.0" encoding="utf-8"?>
<comments xmlns="http://schemas.openxmlformats.org/spreadsheetml/2006/main">
  <authors>
    <author>Hesham Merdad</author>
  </authors>
  <commentList>
    <comment ref="A16" authorId="0">
      <text>
        <r>
          <rPr>
            <b/>
            <sz val="9"/>
            <color indexed="81"/>
            <rFont val="Tahoma"/>
            <family val="2"/>
          </rPr>
          <t>Hesham Merdad:</t>
        </r>
        <r>
          <rPr>
            <sz val="9"/>
            <color indexed="81"/>
            <rFont val="Tahoma"/>
            <family val="2"/>
          </rPr>
          <t xml:space="preserve">
LTD / (LTD +PS + CE)</t>
        </r>
      </text>
    </comment>
    <comment ref="D16" authorId="0">
      <text>
        <r>
          <rPr>
            <b/>
            <sz val="9"/>
            <color indexed="81"/>
            <rFont val="Tahoma"/>
            <family val="2"/>
          </rPr>
          <t>Hesham Merdad:</t>
        </r>
        <r>
          <rPr>
            <sz val="9"/>
            <color indexed="81"/>
            <rFont val="Tahoma"/>
            <family val="2"/>
          </rPr>
          <t xml:space="preserve">
LTD / (LTD +PS + CE)</t>
        </r>
      </text>
    </comment>
  </commentList>
</comments>
</file>

<file path=xl/comments3.xml><?xml version="1.0" encoding="utf-8"?>
<comments xmlns="http://schemas.openxmlformats.org/spreadsheetml/2006/main">
  <authors>
    <author>Hesham Merdad</author>
  </authors>
  <commentList>
    <comment ref="E33" authorId="0">
      <text>
        <r>
          <rPr>
            <sz val="9"/>
            <color indexed="81"/>
            <rFont val="Tahoma"/>
            <family val="2"/>
          </rPr>
          <t xml:space="preserve">A thorough analysis like this one is expected for project. 
</t>
        </r>
      </text>
    </comment>
  </commentList>
</comments>
</file>

<file path=xl/comments4.xml><?xml version="1.0" encoding="utf-8"?>
<comments xmlns="http://schemas.openxmlformats.org/spreadsheetml/2006/main">
  <authors>
    <author>Hesham Merdad</author>
  </authors>
  <commentList>
    <comment ref="I3" authorId="0">
      <text>
        <r>
          <rPr>
            <b/>
            <sz val="9"/>
            <color indexed="81"/>
            <rFont val="Tahoma"/>
            <family val="2"/>
          </rPr>
          <t>Hesham Merdad:</t>
        </r>
        <r>
          <rPr>
            <sz val="9"/>
            <color indexed="81"/>
            <rFont val="Tahoma"/>
            <family val="2"/>
          </rPr>
          <t xml:space="preserve">
If 2009&gt;2008--&gt; good
if 2009&lt;2008--&gt;bad</t>
        </r>
      </text>
    </comment>
    <comment ref="J3" authorId="0">
      <text>
        <r>
          <rPr>
            <b/>
            <sz val="9"/>
            <color indexed="81"/>
            <rFont val="Tahoma"/>
            <family val="2"/>
          </rPr>
          <t>Hesham Merdad:</t>
        </r>
        <r>
          <rPr>
            <sz val="9"/>
            <color indexed="81"/>
            <rFont val="Tahoma"/>
            <family val="2"/>
          </rPr>
          <t xml:space="preserve">
If 2009&gt;2008
and 2009&gt;industry --&gt; good
otherwise--&gt;bad</t>
        </r>
      </text>
    </comment>
    <comment ref="K3" authorId="0">
      <text>
        <r>
          <rPr>
            <b/>
            <sz val="9"/>
            <color indexed="81"/>
            <rFont val="Tahoma"/>
            <family val="2"/>
          </rPr>
          <t>Hesham Merdad:</t>
        </r>
        <r>
          <rPr>
            <sz val="9"/>
            <color indexed="81"/>
            <rFont val="Tahoma"/>
            <family val="2"/>
          </rPr>
          <t xml:space="preserve">
If 2009&gt;2008
</t>
        </r>
        <r>
          <rPr>
            <b/>
            <u/>
            <sz val="9"/>
            <color indexed="81"/>
            <rFont val="Tahoma"/>
            <family val="2"/>
          </rPr>
          <t>and</t>
        </r>
        <r>
          <rPr>
            <sz val="9"/>
            <color indexed="81"/>
            <rFont val="Tahoma"/>
            <family val="2"/>
          </rPr>
          <t xml:space="preserve"> 2009&gt;industry --&gt; good
If 2009&gt;2008
</t>
        </r>
        <r>
          <rPr>
            <b/>
            <u/>
            <sz val="9"/>
            <color indexed="81"/>
            <rFont val="Tahoma"/>
            <family val="2"/>
          </rPr>
          <t>OR</t>
        </r>
        <r>
          <rPr>
            <sz val="9"/>
            <color indexed="81"/>
            <rFont val="Tahoma"/>
            <family val="2"/>
          </rPr>
          <t xml:space="preserve"> 2009&gt;industry --&gt; Ok
otherwise, bad</t>
        </r>
      </text>
    </comment>
  </commentList>
</comments>
</file>

<file path=xl/comments5.xml><?xml version="1.0" encoding="utf-8"?>
<comments xmlns="http://schemas.openxmlformats.org/spreadsheetml/2006/main">
  <authors>
    <author>Hesham Merdad</author>
  </authors>
  <commentList>
    <comment ref="A6" authorId="0">
      <text>
        <r>
          <rPr>
            <b/>
            <sz val="9"/>
            <color indexed="81"/>
            <rFont val="Tahoma"/>
            <family val="2"/>
          </rPr>
          <t>Hesham Merdad:</t>
        </r>
        <r>
          <rPr>
            <sz val="9"/>
            <color indexed="81"/>
            <rFont val="Tahoma"/>
            <family val="2"/>
          </rPr>
          <t xml:space="preserve">
Investor supplied capital =total asset - A/P - Acc - other non bearing interest liabilities</t>
        </r>
      </text>
    </comment>
  </commentList>
</comments>
</file>

<file path=xl/sharedStrings.xml><?xml version="1.0" encoding="utf-8"?>
<sst xmlns="http://schemas.openxmlformats.org/spreadsheetml/2006/main" count="482" uniqueCount="106">
  <si>
    <t>Elvis Products International</t>
  </si>
  <si>
    <t>Income Statement</t>
  </si>
  <si>
    <t>Sales</t>
  </si>
  <si>
    <t>Cost of Goods Sold</t>
  </si>
  <si>
    <t>Gross Profit</t>
  </si>
  <si>
    <t>Selling and G&amp;A Expenses</t>
  </si>
  <si>
    <t>Fixed Expenses</t>
  </si>
  <si>
    <t>Depreciation Expense</t>
  </si>
  <si>
    <t>EBIT</t>
  </si>
  <si>
    <t>Interest Expense</t>
  </si>
  <si>
    <t>Earnings Before Taxes</t>
  </si>
  <si>
    <t>Net Income</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</si>
  <si>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</si>
  <si>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</si>
  <si>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</si>
  <si>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</si>
  <si>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</si>
  <si>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</si>
  <si>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</si>
  <si>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</si>
  <si>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</si>
  <si>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</si>
  <si>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</si>
  <si>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</si>
  <si>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</si>
  <si>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</si>
  <si>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</si>
  <si>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</si>
  <si>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</si>
  <si>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</si>
  <si>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</si>
  <si>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</si>
  <si>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</si>
  <si>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Ratio</t>
  </si>
  <si>
    <t>Liquidity Ratios</t>
  </si>
  <si>
    <t>Efficiency Ratios</t>
  </si>
  <si>
    <t>Inventory Turnover</t>
  </si>
  <si>
    <t>A/R Turnover</t>
  </si>
  <si>
    <t>Average Collection Period</t>
  </si>
  <si>
    <t>Fixed Asset Turnover</t>
  </si>
  <si>
    <t>Total Asset Turnover</t>
  </si>
  <si>
    <t>Leverage Ratios</t>
  </si>
  <si>
    <t>Total Debt Ratio</t>
  </si>
  <si>
    <t>Long-term Debt Ratio</t>
  </si>
  <si>
    <t>LTD to Total Capitalization</t>
  </si>
  <si>
    <t>Debt to Equity</t>
  </si>
  <si>
    <t>LTD to Equity</t>
  </si>
  <si>
    <t>Coverage Ratios</t>
  </si>
  <si>
    <t>Times Interest Earned</t>
  </si>
  <si>
    <t>Cash Coverage Ratio</t>
  </si>
  <si>
    <t>Profitability Ratios</t>
  </si>
  <si>
    <t>Gross Profit Margin</t>
  </si>
  <si>
    <t>Operating Profit Margin</t>
  </si>
  <si>
    <t>Net Profit Margin</t>
  </si>
  <si>
    <t>Return on Total Assets</t>
  </si>
  <si>
    <t>Return on Equity</t>
  </si>
  <si>
    <t>Return on Common Equity</t>
  </si>
  <si>
    <t>NOPAT</t>
  </si>
  <si>
    <t>Total Operating Capital</t>
  </si>
  <si>
    <t>After-tax Cost of Capital</t>
  </si>
  <si>
    <t>Dollar Cost of Capital</t>
  </si>
  <si>
    <t>Economic Profit Calculations</t>
  </si>
  <si>
    <t>Economic Profit</t>
  </si>
  <si>
    <t>Tax Rate</t>
  </si>
  <si>
    <t>Notes:</t>
  </si>
  <si>
    <t>Taxes</t>
  </si>
  <si>
    <t>Du Pont ROE</t>
  </si>
  <si>
    <t>Number of Shares</t>
  </si>
  <si>
    <t>Stock Valuation Notes:</t>
  </si>
  <si>
    <t>Stock Price</t>
  </si>
  <si>
    <t>Z-Score - Publicly Traded</t>
  </si>
  <si>
    <t>Z-Score - Privately Held</t>
  </si>
  <si>
    <t>Current Ratio</t>
  </si>
  <si>
    <t>Quick Ratio</t>
  </si>
  <si>
    <t>Ratio Analysis for 2008 and 2009</t>
  </si>
  <si>
    <t>Market Value Ratios</t>
  </si>
  <si>
    <t>Price per share /EPS (P/E)</t>
  </si>
  <si>
    <t>Market value of equity/Book value of equity (M/B)</t>
  </si>
  <si>
    <t>Market value of equity</t>
  </si>
  <si>
    <t>IF only (Good/Bad)</t>
  </si>
  <si>
    <t xml:space="preserve">Include Industry    IF + And (Good/Bad) </t>
  </si>
  <si>
    <t xml:space="preserve">Include Industry           IF+And+OR (Good/OK/Bad) </t>
  </si>
  <si>
    <t>Market Value of Equity</t>
  </si>
  <si>
    <t>% Chage</t>
  </si>
  <si>
    <t>Analysis</t>
  </si>
  <si>
    <t xml:space="preserve">The Firm has a problem in managing its current assets. </t>
  </si>
  <si>
    <t>The Firm has a problem in managing its debt</t>
  </si>
  <si>
    <t>Common Size</t>
  </si>
  <si>
    <t>ROE: has declined because of the firm is less profitable as well as inefficient in using asset</t>
  </si>
  <si>
    <t>Could have problems meet short-term obligations</t>
  </si>
  <si>
    <t>No predictability of BR</t>
  </si>
  <si>
    <t>Interpretation</t>
  </si>
  <si>
    <t xml:space="preserve">However, the firm is somewhat good in managing Fixed asset, which has a direct impact on managing the total firm assets to generate sales. Overall, the firm is much less efficient in managing its assets than an average firm in its industry, especially assets such as inventory. </t>
  </si>
  <si>
    <t>Risk of defaulting</t>
  </si>
  <si>
    <t>Problems with profitability. Firm cannot sustain such high costs and inefficient management of assets</t>
  </si>
  <si>
    <t>The decline in the NI is affected by the increase in selling and M&amp;G expenses, but also the increase in interest payment (because the firm borrowed more) affected the net income</t>
  </si>
  <si>
    <t>ROA: management can improve this by using assets more efficiently (i.e. inventory)</t>
  </si>
  <si>
    <t xml:space="preserve">Looking at all previous ratio, the results indicate that the firm has problems managing its debt, asset efficiency utilization, and inventory. This will obviously reflect in the profitability.                                                                             </t>
  </si>
  <si>
    <t>If no there is no growth prospects, then the firm seem to be overpriced</t>
  </si>
  <si>
    <t xml:space="preserve">Solution: </t>
  </si>
  <si>
    <t xml:space="preserve">     2.B. Change their credit policy and reduce the number of days sales are outstanding</t>
  </si>
  <si>
    <t>3- Have more control on borrowing so that the firm does not suffer from financial distress</t>
  </si>
  <si>
    <t>2. Improve the TATO and increase efficiency in using all asset by:</t>
  </si>
  <si>
    <t xml:space="preserve">1. management should have their primarily objective to reduce operation costs. </t>
  </si>
  <si>
    <t xml:space="preserve">     2.A. Then improve efficiency of asset utilization by focusing on inventory control. </t>
  </si>
  <si>
    <t>The firm is trading at higher multiple than the average firm in the industry. Investors are paying and 5 times more per share per 1$ of earning compared to average firm in the industry. Also, investors are paying more per $1 of what shareholders originally paid to own the stock. This could indicate that the firm could be overpriced (E(r)&lt;RRR) if there is no growth prospects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</si>
</sst>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164" formatCode="#.00,"/>
    <numFmt numFmtId="165" formatCode="#,#00.00,"/>
    <numFmt numFmtId="166" formatCode="0.00&quot;x&quot;"/>
    <numFmt numFmtId="167" formatCode="0.00&quot; days&quot;"/>
    <numFmt numFmtId="168" formatCode="#,##0.00,"/>
    <numFmt numFmtId="169" formatCode="&quot;$&quot;#,##0.00;[Red]\(&quot;$&quot;#,##0.00\)"/>
    <numFmt numFmtId="170" formatCode="0.00%;[Red]\-0.00%"/>
    <numFmt numFmtId="171" formatCode="&quot;$&quot;0.00;[Red]\(&quot;$&quot;0.00\)"/>
  </numFmts>
  <fonts count="23" x14ac:knownFonts="1">
    <font>
      <sz val="11"/>
      <name val="Times New Roman"/>
    </font>
    <font>
      <b/>
      <sz val="12"/>
      <name val="Times New Roman"/>
      <family val="1"/>
    </font>
    <font>
      <i/>
      <sz val="12"/>
      <name val="Times New Roman"/>
      <family val="1"/>
    </font>
    <font>
      <sz val="12"/>
      <name val="Times New Roman"/>
      <family val="1"/>
    </font>
    <font>
      <b/>
      <i/>
      <sz val="11"/>
      <name val="Times New Roman"/>
      <family val="1"/>
    </font>
    <font>
      <b/>
      <sz val="11"/>
      <name val="Times New Roman"/>
      <family val="1"/>
    </font>
    <font>
      <i/>
      <sz val="11"/>
      <name val="Times New Roman"/>
      <family val="1"/>
    </font>
    <font>
      <sz val="11"/>
      <name val="Times New Roman"/>
      <family val="1"/>
    </font>
    <font>
      <sz val="10"/>
      <name val="MS Sans Serif"/>
      <family val="2"/>
    </font>
    <font>
      <i/>
      <sz val="11"/>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i/>
      <sz val="11"/>
      <name val="Times New Roman"/>
      <family val="1"/>
    </font>
    <font>
      <sz val="8"/>
      <name val="Times New Roman"/>
      <family val="1"/>
    </font>
    <font>
      <sz val="11"/>
      <color theme="4" tint="-0.249977111117893"/>
      <name val="Times New Roman"/>
      <family val="1"/>
    </font>
    <font>
      <b/>
      <sz val="11"/>
      <color theme="4" tint="-0.249977111117893"/>
      <name val="Times New Roman"/>
      <family val="1"/>
    </font>
    <font>
      <b/>
      <sz val="11"/>
      <color rgb="FFFF0000"/>
      <name val="Times New Roman"/>
      <family val="1"/>
    </font>
    <font>
      <sz val="11"/>
      <color rgb="FFFF0000"/>
      <name val="Times New Roman"/>
      <family val="1"/>
    </font>
    <font>
      <sz val="9"/>
      <color indexed="81"/>
      <name val="Tahoma"/>
      <family val="2"/>
    </font>
    <font>
      <b/>
      <sz val="9"/>
      <color indexed="81"/>
      <name val="Tahoma"/>
      <family val="2"/>
    </font>
    <font>
      <b/>
      <u/>
      <sz val="9"/>
      <color indexed="81"/>
      <name val="Tahoma"/>
      <family val="2"/>
    </font>
  </fonts>
  <fills count="8">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tint="-0.14996795556505021"/>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s>
  <cellStyleXfs count="5">
    <xf numFmtId="0" fontId="0" fillId="0" borderId="0"/>
    <xf numFmtId="40" fontId="8" fillId="0" borderId="0" applyFont="0" applyFill="0" applyBorder="0" applyAlignment="0" applyProtection="0"/>
    <xf numFmtId="8" fontId="8" fillId="0" borderId="0" applyFont="0" applyFill="0" applyBorder="0" applyAlignment="0" applyProtection="0"/>
    <xf numFmtId="9" fontId="3" fillId="0" borderId="0" applyFont="0" applyFill="0" applyBorder="0" applyAlignment="0" applyProtection="0"/>
    <xf numFmtId="0" fontId="1" fillId="2" borderId="1">
      <alignment horizontal="center" vertical="justify"/>
    </xf>
  </cellStyleXfs>
  <cellXfs count="202">
    <xf numFmtId="0" fontId="0" fillId="0" borderId="0" xfId="0"/>
    <xf numFmtId="0" fontId="1" fillId="0" borderId="0" xfId="0" applyFont="1" applyAlignment="1">
      <alignment horizontal="centerContinuous"/>
    </xf>
    <xf numFmtId="0" fontId="0" fillId="0" borderId="0" xfId="0" applyAlignment="1">
      <alignment horizontal="centerContinuous"/>
    </xf>
    <xf numFmtId="0" fontId="4" fillId="0" borderId="0" xfId="0" applyFont="1"/>
    <xf numFmtId="0" fontId="6" fillId="0" borderId="0" xfId="0" applyFont="1"/>
    <xf numFmtId="0" fontId="7" fillId="0" borderId="0" xfId="0" applyFont="1"/>
    <xf numFmtId="164" fontId="0" fillId="0" borderId="0" xfId="0" applyNumberFormat="1"/>
    <xf numFmtId="0" fontId="11" fillId="0" borderId="0" xfId="0" applyFont="1"/>
    <xf numFmtId="10" fontId="11" fillId="0" borderId="0" xfId="0" applyNumberFormat="1" applyFont="1"/>
    <xf numFmtId="10" fontId="11" fillId="0" borderId="0" xfId="3" applyNumberFormat="1" applyFont="1"/>
    <xf numFmtId="0" fontId="11" fillId="0" borderId="0" xfId="0" applyFont="1" applyBorder="1"/>
    <xf numFmtId="0" fontId="10" fillId="0" borderId="0" xfId="0" applyFont="1" applyAlignment="1">
      <alignment horizontal="centerContinuous"/>
    </xf>
    <xf numFmtId="0" fontId="10" fillId="0" borderId="0" xfId="0" applyFont="1"/>
    <xf numFmtId="0" fontId="14" fillId="0" borderId="0" xfId="0" applyFont="1"/>
    <xf numFmtId="10" fontId="0" fillId="0" borderId="0" xfId="3" applyNumberFormat="1" applyFont="1"/>
    <xf numFmtId="0" fontId="4" fillId="3" borderId="5" xfId="0" applyFont="1" applyFill="1" applyBorder="1"/>
    <xf numFmtId="0" fontId="4" fillId="3" borderId="5" xfId="0" applyFont="1" applyFill="1" applyBorder="1" applyAlignment="1">
      <alignment horizontal="right"/>
    </xf>
    <xf numFmtId="0" fontId="12" fillId="3" borderId="6" xfId="0" applyFont="1" applyFill="1" applyBorder="1" applyAlignment="1">
      <alignment horizontal="centerContinuous"/>
    </xf>
    <xf numFmtId="38" fontId="7" fillId="0" borderId="0" xfId="1" applyNumberFormat="1" applyFont="1"/>
    <xf numFmtId="0" fontId="11" fillId="0" borderId="2" xfId="0" applyFont="1" applyBorder="1"/>
    <xf numFmtId="10" fontId="11" fillId="0" borderId="0" xfId="0" applyNumberFormat="1" applyFont="1" applyBorder="1"/>
    <xf numFmtId="10" fontId="11" fillId="0" borderId="2" xfId="0" applyNumberFormat="1" applyFont="1" applyBorder="1"/>
    <xf numFmtId="0" fontId="0" fillId="0" borderId="0" xfId="0" applyAlignment="1">
      <alignment wrapText="1"/>
    </xf>
    <xf numFmtId="0" fontId="13" fillId="0" borderId="0" xfId="0" applyFont="1" applyAlignment="1">
      <alignment horizontal="centerContinuous"/>
    </xf>
    <xf numFmtId="165" fontId="10" fillId="0" borderId="0" xfId="0" applyNumberFormat="1" applyFont="1"/>
    <xf numFmtId="0" fontId="4" fillId="0" borderId="2" xfId="0" applyFont="1" applyBorder="1"/>
    <xf numFmtId="166" fontId="11" fillId="0" borderId="0" xfId="0" applyNumberFormat="1" applyFont="1"/>
    <xf numFmtId="166" fontId="10" fillId="0" borderId="0" xfId="0" applyNumberFormat="1" applyFont="1"/>
    <xf numFmtId="166" fontId="11" fillId="0" borderId="0" xfId="3" applyNumberFormat="1" applyFont="1"/>
    <xf numFmtId="9" fontId="0" fillId="0" borderId="0" xfId="0" applyNumberFormat="1"/>
    <xf numFmtId="0" fontId="13" fillId="3" borderId="6" xfId="0" applyFont="1" applyFill="1" applyBorder="1" applyAlignment="1">
      <alignment horizontal="center"/>
    </xf>
    <xf numFmtId="38" fontId="10" fillId="0" borderId="0" xfId="1" applyNumberFormat="1" applyFont="1"/>
    <xf numFmtId="167" fontId="11" fillId="0" borderId="0" xfId="0" applyNumberFormat="1" applyFont="1"/>
    <xf numFmtId="168" fontId="0" fillId="0" borderId="0" xfId="0" applyNumberFormat="1"/>
    <xf numFmtId="168" fontId="0" fillId="3" borderId="5" xfId="0" applyNumberFormat="1" applyFill="1" applyBorder="1"/>
    <xf numFmtId="0" fontId="13" fillId="0" borderId="0" xfId="0" applyFont="1"/>
    <xf numFmtId="3" fontId="0" fillId="0" borderId="0" xfId="0" applyNumberFormat="1"/>
    <xf numFmtId="4" fontId="0" fillId="0" borderId="0" xfId="0" applyNumberFormat="1"/>
    <xf numFmtId="169" fontId="0" fillId="0" borderId="0" xfId="2" applyNumberFormat="1" applyFont="1"/>
    <xf numFmtId="2" fontId="0" fillId="0" borderId="0" xfId="0" applyNumberFormat="1"/>
    <xf numFmtId="3" fontId="0" fillId="0" borderId="3" xfId="0" applyNumberFormat="1" applyBorder="1"/>
    <xf numFmtId="3" fontId="9" fillId="0" borderId="0" xfId="0" applyNumberFormat="1" applyFont="1"/>
    <xf numFmtId="3" fontId="2" fillId="0" borderId="3" xfId="0" applyNumberFormat="1" applyFont="1" applyBorder="1"/>
    <xf numFmtId="3" fontId="14" fillId="0" borderId="0" xfId="0" applyNumberFormat="1" applyFont="1" applyBorder="1"/>
    <xf numFmtId="3" fontId="9" fillId="0" borderId="3" xfId="0" applyNumberFormat="1" applyFont="1" applyBorder="1"/>
    <xf numFmtId="3" fontId="14" fillId="0" borderId="2" xfId="0" applyNumberFormat="1" applyFont="1" applyBorder="1"/>
    <xf numFmtId="0" fontId="5" fillId="0" borderId="0" xfId="0" applyFont="1" applyAlignment="1">
      <alignment horizontal="centerContinuous"/>
    </xf>
    <xf numFmtId="0" fontId="14" fillId="4" borderId="5" xfId="0" applyFont="1" applyFill="1" applyBorder="1"/>
    <xf numFmtId="0" fontId="14" fillId="4" borderId="5" xfId="0" applyFont="1" applyFill="1" applyBorder="1" applyAlignment="1">
      <alignment horizontal="right"/>
    </xf>
    <xf numFmtId="38" fontId="10" fillId="0" borderId="3" xfId="1" applyNumberFormat="1" applyFont="1" applyBorder="1"/>
    <xf numFmtId="38" fontId="14" fillId="0" borderId="0" xfId="1" applyNumberFormat="1" applyFont="1"/>
    <xf numFmtId="38" fontId="14" fillId="0" borderId="4" xfId="1" applyNumberFormat="1" applyFont="1" applyBorder="1"/>
    <xf numFmtId="0" fontId="12" fillId="0" borderId="2" xfId="0" applyFont="1" applyBorder="1" applyAlignment="1">
      <alignment horizontal="left" wrapText="1"/>
    </xf>
    <xf numFmtId="0" fontId="12" fillId="0" borderId="2" xfId="0" applyFont="1" applyBorder="1" applyAlignment="1">
      <alignment horizontal="center" wrapText="1"/>
    </xf>
    <xf numFmtId="37" fontId="7" fillId="0" borderId="0" xfId="1" applyNumberFormat="1" applyFont="1"/>
    <xf numFmtId="9" fontId="7" fillId="0" borderId="0" xfId="0" applyNumberFormat="1" applyFont="1"/>
    <xf numFmtId="0" fontId="11" fillId="5" borderId="0" xfId="0" applyFont="1" applyFill="1"/>
    <xf numFmtId="0" fontId="0" fillId="0" borderId="0" xfId="0" applyAlignment="1">
      <alignment horizontal="center"/>
    </xf>
    <xf numFmtId="8" fontId="0" fillId="0" borderId="0" xfId="0" applyNumberFormat="1" applyAlignment="1">
      <alignment horizontal="center"/>
    </xf>
    <xf numFmtId="166" fontId="16" fillId="0" borderId="0" xfId="0" applyNumberFormat="1" applyFont="1"/>
    <xf numFmtId="2" fontId="16" fillId="0" borderId="0" xfId="0" applyNumberFormat="1" applyFont="1"/>
    <xf numFmtId="0" fontId="17" fillId="3" borderId="6" xfId="0" applyFont="1" applyFill="1" applyBorder="1" applyAlignment="1">
      <alignment horizontal="centerContinuous"/>
    </xf>
    <xf numFmtId="167" fontId="16" fillId="0" borderId="0" xfId="0" applyNumberFormat="1" applyFont="1"/>
    <xf numFmtId="10" fontId="16" fillId="0" borderId="0" xfId="0" applyNumberFormat="1" applyFont="1"/>
    <xf numFmtId="166" fontId="16" fillId="0" borderId="0" xfId="3" applyNumberFormat="1" applyFont="1"/>
    <xf numFmtId="10" fontId="16" fillId="0" borderId="0" xfId="3" applyNumberFormat="1" applyFont="1"/>
    <xf numFmtId="10" fontId="16" fillId="0" borderId="0" xfId="0" applyNumberFormat="1" applyFont="1" applyBorder="1"/>
    <xf numFmtId="10" fontId="16" fillId="0" borderId="2" xfId="0" applyNumberFormat="1" applyFont="1" applyBorder="1"/>
    <xf numFmtId="166" fontId="11" fillId="0" borderId="7" xfId="0" applyNumberFormat="1" applyFont="1" applyBorder="1"/>
    <xf numFmtId="10" fontId="16" fillId="0" borderId="0" xfId="0" applyNumberFormat="1" applyFont="1" applyFill="1" applyBorder="1"/>
    <xf numFmtId="0" fontId="5" fillId="0" borderId="0" xfId="0" applyFont="1" applyFill="1" applyBorder="1" applyAlignment="1">
      <alignment horizontal="centerContinuous"/>
    </xf>
    <xf numFmtId="0" fontId="12" fillId="0" borderId="0" xfId="0" applyFont="1" applyFill="1" applyBorder="1" applyAlignment="1">
      <alignment horizontal="center" wrapText="1"/>
    </xf>
    <xf numFmtId="0" fontId="12" fillId="0" borderId="0" xfId="0" applyFont="1" applyFill="1" applyBorder="1" applyAlignment="1">
      <alignment horizontal="centerContinuous"/>
    </xf>
    <xf numFmtId="166" fontId="16" fillId="0" borderId="0" xfId="0" applyNumberFormat="1" applyFont="1" applyFill="1" applyBorder="1"/>
    <xf numFmtId="0" fontId="17" fillId="0" borderId="0" xfId="0" applyFont="1" applyFill="1" applyBorder="1" applyAlignment="1">
      <alignment horizontal="centerContinuous"/>
    </xf>
    <xf numFmtId="167" fontId="16" fillId="0" borderId="0" xfId="0" applyNumberFormat="1" applyFont="1" applyFill="1" applyBorder="1"/>
    <xf numFmtId="166" fontId="16" fillId="0" borderId="0" xfId="3" applyNumberFormat="1" applyFont="1" applyFill="1" applyBorder="1"/>
    <xf numFmtId="10" fontId="16" fillId="0" borderId="0" xfId="3" applyNumberFormat="1" applyFont="1" applyFill="1" applyBorder="1"/>
    <xf numFmtId="0" fontId="0" fillId="0" borderId="0" xfId="0" applyFill="1" applyBorder="1"/>
    <xf numFmtId="3" fontId="0" fillId="0" borderId="0" xfId="0" applyNumberFormat="1" applyFill="1" applyBorder="1"/>
    <xf numFmtId="169" fontId="0" fillId="0" borderId="0" xfId="2" applyNumberFormat="1" applyFont="1" applyFill="1" applyBorder="1"/>
    <xf numFmtId="0" fontId="7" fillId="5" borderId="0" xfId="0" applyFont="1" applyFill="1"/>
    <xf numFmtId="8" fontId="0" fillId="5" borderId="0" xfId="0" applyNumberFormat="1" applyFill="1"/>
    <xf numFmtId="166" fontId="19" fillId="0" borderId="0" xfId="0" applyNumberFormat="1" applyFont="1"/>
    <xf numFmtId="167" fontId="19" fillId="0" borderId="0" xfId="0" applyNumberFormat="1" applyFont="1"/>
    <xf numFmtId="10" fontId="19" fillId="0" borderId="0" xfId="0" applyNumberFormat="1" applyFont="1"/>
    <xf numFmtId="10" fontId="19" fillId="0" borderId="0" xfId="3" applyNumberFormat="1" applyFont="1"/>
    <xf numFmtId="166" fontId="19" fillId="0" borderId="0" xfId="3" applyNumberFormat="1" applyFont="1"/>
    <xf numFmtId="10" fontId="19" fillId="0" borderId="2" xfId="3" applyNumberFormat="1" applyFont="1" applyBorder="1"/>
    <xf numFmtId="10" fontId="19" fillId="0" borderId="0" xfId="3" applyNumberFormat="1" applyFont="1" applyBorder="1"/>
    <xf numFmtId="0" fontId="0" fillId="0" borderId="2" xfId="0" applyBorder="1" applyAlignment="1">
      <alignment horizontal="center"/>
    </xf>
    <xf numFmtId="0" fontId="12" fillId="3" borderId="6" xfId="0" applyFont="1" applyFill="1" applyBorder="1" applyAlignment="1">
      <alignment horizontal="centerContinuous"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8" fillId="0" borderId="2" xfId="0" applyFont="1" applyBorder="1" applyAlignment="1">
      <alignment horizontal="center" vertical="center" wrapText="1"/>
    </xf>
    <xf numFmtId="10" fontId="7" fillId="0" borderId="0" xfId="3" applyNumberFormat="1" applyFont="1"/>
    <xf numFmtId="0" fontId="16" fillId="0" borderId="7" xfId="0" applyFont="1" applyBorder="1"/>
    <xf numFmtId="0" fontId="16" fillId="0" borderId="0" xfId="0" applyFont="1"/>
    <xf numFmtId="8" fontId="16" fillId="0" borderId="0" xfId="0" applyNumberFormat="1" applyFont="1"/>
    <xf numFmtId="0" fontId="11" fillId="0" borderId="0" xfId="0" applyFont="1" applyFill="1"/>
    <xf numFmtId="0" fontId="7" fillId="0" borderId="0" xfId="0" applyFont="1" applyFill="1"/>
    <xf numFmtId="8" fontId="0" fillId="0" borderId="0" xfId="0" applyNumberFormat="1" applyFill="1"/>
    <xf numFmtId="38" fontId="16" fillId="0" borderId="0" xfId="1" applyNumberFormat="1" applyFont="1"/>
    <xf numFmtId="37" fontId="16" fillId="0" borderId="0" xfId="1" applyNumberFormat="1" applyFont="1"/>
    <xf numFmtId="10" fontId="10" fillId="0" borderId="0" xfId="3" applyNumberFormat="1" applyFont="1"/>
    <xf numFmtId="10" fontId="10" fillId="0" borderId="3" xfId="3" applyNumberFormat="1" applyFont="1" applyBorder="1"/>
    <xf numFmtId="10" fontId="14" fillId="0" borderId="0" xfId="3" applyNumberFormat="1" applyFont="1"/>
    <xf numFmtId="10" fontId="14" fillId="0" borderId="4" xfId="3" applyNumberFormat="1" applyFont="1" applyBorder="1"/>
    <xf numFmtId="10" fontId="0" fillId="0" borderId="3" xfId="3" applyNumberFormat="1" applyFont="1" applyBorder="1"/>
    <xf numFmtId="10" fontId="6" fillId="0" borderId="0" xfId="3" applyNumberFormat="1" applyFont="1"/>
    <xf numFmtId="10" fontId="9" fillId="0" borderId="0" xfId="3" applyNumberFormat="1" applyFont="1"/>
    <xf numFmtId="10" fontId="2" fillId="0" borderId="3" xfId="3" applyNumberFormat="1" applyFont="1" applyBorder="1"/>
    <xf numFmtId="10" fontId="4" fillId="0" borderId="0" xfId="3" applyNumberFormat="1" applyFont="1"/>
    <xf numFmtId="10" fontId="14" fillId="0" borderId="0" xfId="3" applyNumberFormat="1" applyFont="1" applyBorder="1"/>
    <xf numFmtId="10" fontId="4" fillId="3" borderId="5" xfId="3" applyNumberFormat="1" applyFont="1" applyFill="1" applyBorder="1"/>
    <xf numFmtId="10" fontId="0" fillId="3" borderId="5" xfId="3" applyNumberFormat="1" applyFont="1" applyFill="1" applyBorder="1"/>
    <xf numFmtId="10" fontId="9" fillId="0" borderId="3" xfId="3" applyNumberFormat="1" applyFont="1" applyBorder="1"/>
    <xf numFmtId="10" fontId="4" fillId="0" borderId="2" xfId="3" applyNumberFormat="1" applyFont="1" applyBorder="1"/>
    <xf numFmtId="10" fontId="14" fillId="0" borderId="2" xfId="3" applyNumberFormat="1" applyFont="1"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2" fillId="6" borderId="2" xfId="0" applyFont="1" applyFill="1" applyBorder="1" applyAlignment="1">
      <alignment horizontal="center" vertical="center" wrapText="1"/>
    </xf>
    <xf numFmtId="170" fontId="0" fillId="0" borderId="0" xfId="0" applyNumberFormat="1"/>
    <xf numFmtId="0" fontId="5" fillId="0" borderId="0" xfId="0" applyFont="1" applyAlignment="1">
      <alignment horizontal="centerContinuous" vertical="center"/>
    </xf>
    <xf numFmtId="0" fontId="11" fillId="0" borderId="0" xfId="0" applyFont="1" applyAlignment="1">
      <alignment vertical="center"/>
    </xf>
    <xf numFmtId="166" fontId="11" fillId="0" borderId="0" xfId="0" applyNumberFormat="1" applyFont="1" applyAlignment="1">
      <alignment vertical="center"/>
    </xf>
    <xf numFmtId="166" fontId="10" fillId="0" borderId="0" xfId="0" applyNumberFormat="1" applyFont="1" applyAlignment="1">
      <alignment vertical="center"/>
    </xf>
    <xf numFmtId="166" fontId="19" fillId="0" borderId="0" xfId="0" applyNumberFormat="1" applyFont="1" applyAlignment="1">
      <alignment vertical="center"/>
    </xf>
    <xf numFmtId="0" fontId="10" fillId="0" borderId="0" xfId="0" applyFont="1" applyAlignment="1">
      <alignment vertical="center"/>
    </xf>
    <xf numFmtId="0" fontId="19" fillId="0" borderId="0" xfId="0" applyFont="1" applyFill="1" applyAlignment="1">
      <alignment vertical="center"/>
    </xf>
    <xf numFmtId="167" fontId="11" fillId="0" borderId="0" xfId="0" applyNumberFormat="1" applyFont="1" applyAlignment="1">
      <alignment vertical="center"/>
    </xf>
    <xf numFmtId="167" fontId="19" fillId="0" borderId="0" xfId="0" applyNumberFormat="1" applyFont="1" applyAlignment="1">
      <alignment vertical="center"/>
    </xf>
    <xf numFmtId="10" fontId="11" fillId="0" borderId="0" xfId="0" applyNumberFormat="1" applyFont="1" applyAlignment="1">
      <alignment vertical="center"/>
    </xf>
    <xf numFmtId="10" fontId="19" fillId="0" borderId="0" xfId="0" applyNumberFormat="1" applyFont="1" applyAlignment="1">
      <alignment vertical="center"/>
    </xf>
    <xf numFmtId="10" fontId="19" fillId="0" borderId="0" xfId="3" applyNumberFormat="1" applyFont="1" applyAlignment="1">
      <alignment vertical="center"/>
    </xf>
    <xf numFmtId="166" fontId="11" fillId="0" borderId="0" xfId="3" applyNumberFormat="1" applyFont="1" applyAlignment="1">
      <alignment vertical="center"/>
    </xf>
    <xf numFmtId="166" fontId="19" fillId="0" borderId="0" xfId="3" applyNumberFormat="1" applyFont="1" applyAlignment="1">
      <alignment vertical="center"/>
    </xf>
    <xf numFmtId="10" fontId="11" fillId="0" borderId="0" xfId="3" applyNumberFormat="1" applyFont="1" applyAlignment="1">
      <alignment vertical="center"/>
    </xf>
    <xf numFmtId="0" fontId="11" fillId="0" borderId="0" xfId="0" applyFont="1" applyBorder="1" applyAlignment="1">
      <alignment vertical="center"/>
    </xf>
    <xf numFmtId="10" fontId="11" fillId="0" borderId="0" xfId="0" applyNumberFormat="1" applyFont="1" applyBorder="1" applyAlignment="1">
      <alignment vertical="center"/>
    </xf>
    <xf numFmtId="0" fontId="11" fillId="0" borderId="2" xfId="0" applyFont="1" applyBorder="1" applyAlignment="1">
      <alignment vertical="center"/>
    </xf>
    <xf numFmtId="10" fontId="11" fillId="0" borderId="2" xfId="0" applyNumberFormat="1" applyFont="1" applyBorder="1" applyAlignment="1">
      <alignment vertical="center"/>
    </xf>
    <xf numFmtId="10" fontId="19" fillId="0" borderId="2" xfId="3" applyNumberFormat="1" applyFont="1" applyBorder="1" applyAlignment="1">
      <alignment vertical="center"/>
    </xf>
    <xf numFmtId="0" fontId="17" fillId="3" borderId="6" xfId="0" applyFont="1" applyFill="1" applyBorder="1" applyAlignment="1">
      <alignment horizontal="centerContinuous" vertical="center"/>
    </xf>
    <xf numFmtId="166" fontId="11" fillId="0" borderId="7" xfId="0" applyNumberFormat="1" applyFont="1" applyBorder="1" applyAlignment="1">
      <alignment vertical="center"/>
    </xf>
    <xf numFmtId="166" fontId="11" fillId="0" borderId="2" xfId="0" applyNumberFormat="1" applyFont="1" applyBorder="1" applyAlignment="1">
      <alignment vertical="center"/>
    </xf>
    <xf numFmtId="10" fontId="0" fillId="0" borderId="0" xfId="3" applyNumberFormat="1" applyFont="1" applyAlignment="1">
      <alignment vertical="center"/>
    </xf>
    <xf numFmtId="10" fontId="19" fillId="0" borderId="0" xfId="3" applyNumberFormat="1" applyFont="1" applyBorder="1" applyAlignment="1">
      <alignment vertical="center"/>
    </xf>
    <xf numFmtId="3" fontId="0" fillId="0" borderId="0" xfId="0" applyNumberFormat="1" applyAlignment="1">
      <alignment vertical="center"/>
    </xf>
    <xf numFmtId="4" fontId="0" fillId="0" borderId="0" xfId="0" applyNumberFormat="1" applyAlignment="1">
      <alignment vertical="center"/>
    </xf>
    <xf numFmtId="2" fontId="0" fillId="0" borderId="0" xfId="0" applyNumberFormat="1" applyAlignment="1">
      <alignment vertical="center"/>
    </xf>
    <xf numFmtId="0" fontId="13" fillId="0" borderId="0" xfId="0" applyFont="1" applyAlignment="1">
      <alignment vertical="center"/>
    </xf>
    <xf numFmtId="169" fontId="0" fillId="0" borderId="0" xfId="2" applyNumberFormat="1" applyFont="1" applyAlignment="1">
      <alignment vertical="center"/>
    </xf>
    <xf numFmtId="0" fontId="7" fillId="0" borderId="0" xfId="0" applyFont="1" applyFill="1" applyAlignment="1">
      <alignment vertical="center"/>
    </xf>
    <xf numFmtId="8" fontId="0" fillId="0" borderId="0" xfId="0" applyNumberFormat="1" applyFill="1" applyAlignment="1">
      <alignment vertical="center"/>
    </xf>
    <xf numFmtId="170" fontId="5" fillId="0" borderId="0" xfId="0" applyNumberFormat="1" applyFont="1"/>
    <xf numFmtId="170" fontId="5" fillId="0" borderId="3" xfId="0" applyNumberFormat="1" applyFont="1" applyBorder="1"/>
    <xf numFmtId="170" fontId="5" fillId="0" borderId="4" xfId="0" applyNumberFormat="1" applyFont="1" applyBorder="1"/>
    <xf numFmtId="10" fontId="5" fillId="3" borderId="5" xfId="3" applyNumberFormat="1" applyFont="1" applyFill="1" applyBorder="1"/>
    <xf numFmtId="170" fontId="5" fillId="0" borderId="8" xfId="0" applyNumberFormat="1" applyFont="1" applyBorder="1"/>
    <xf numFmtId="170" fontId="0" fillId="0" borderId="0" xfId="0" applyNumberFormat="1" applyAlignment="1">
      <alignment horizontal="centerContinuous"/>
    </xf>
    <xf numFmtId="0" fontId="4" fillId="3" borderId="3" xfId="0" applyFont="1" applyFill="1" applyBorder="1" applyAlignment="1">
      <alignment horizontal="right"/>
    </xf>
    <xf numFmtId="0" fontId="4" fillId="3" borderId="3" xfId="0" applyFont="1" applyFill="1" applyBorder="1" applyAlignment="1">
      <alignment horizontal="centerContinuous" vertical="center"/>
    </xf>
    <xf numFmtId="166" fontId="19" fillId="0" borderId="7" xfId="0" applyNumberFormat="1" applyFont="1" applyBorder="1" applyAlignment="1">
      <alignment vertical="center"/>
    </xf>
    <xf numFmtId="166" fontId="19" fillId="0" borderId="2" xfId="0" applyNumberFormat="1" applyFont="1" applyBorder="1" applyAlignment="1">
      <alignment vertical="center"/>
    </xf>
    <xf numFmtId="0" fontId="12" fillId="6" borderId="2" xfId="0" applyFont="1" applyFill="1" applyBorder="1" applyAlignment="1">
      <alignment horizontal="centerContinuous" vertical="center" wrapText="1"/>
    </xf>
    <xf numFmtId="0" fontId="0" fillId="0" borderId="0" xfId="0" applyFill="1" applyAlignment="1">
      <alignment vertical="center" wrapText="1"/>
    </xf>
    <xf numFmtId="0" fontId="5" fillId="7" borderId="2" xfId="0" applyFont="1" applyFill="1" applyBorder="1" applyAlignment="1">
      <alignment vertical="center" wrapText="1"/>
    </xf>
    <xf numFmtId="0" fontId="0" fillId="7" borderId="0" xfId="0" applyFill="1" applyAlignment="1">
      <alignment vertical="center" wrapText="1"/>
    </xf>
    <xf numFmtId="0" fontId="7" fillId="7" borderId="0" xfId="0" applyFont="1" applyFill="1" applyAlignment="1">
      <alignment horizontal="left" vertical="center" wrapText="1"/>
    </xf>
    <xf numFmtId="0" fontId="0" fillId="7" borderId="0" xfId="0" applyFill="1" applyAlignment="1">
      <alignment horizontal="left" vertical="center" wrapText="1"/>
    </xf>
    <xf numFmtId="171" fontId="0" fillId="0" borderId="0" xfId="0" applyNumberFormat="1"/>
    <xf numFmtId="0" fontId="0" fillId="0" borderId="0" xfId="0"/>
    <xf numFmtId="0" fontId="11" fillId="0" borderId="2" xfId="0" applyFont="1" applyBorder="1" applyAlignment="1">
      <alignment wrapText="1"/>
    </xf>
    <xf numFmtId="0" fontId="11" fillId="0" borderId="2" xfId="0" applyFont="1" applyBorder="1" applyAlignment="1">
      <alignment vertical="center" wrapText="1"/>
    </xf>
    <xf numFmtId="8" fontId="16" fillId="0" borderId="2" xfId="0" applyNumberFormat="1" applyFont="1" applyBorder="1" applyAlignment="1">
      <alignment vertical="center"/>
    </xf>
    <xf numFmtId="166" fontId="11" fillId="0" borderId="2" xfId="0" applyNumberFormat="1" applyFont="1" applyBorder="1" applyAlignment="1"/>
    <xf numFmtId="0" fontId="0" fillId="5" borderId="0" xfId="0" applyFill="1"/>
    <xf numFmtId="10" fontId="0" fillId="5" borderId="0" xfId="3" applyNumberFormat="1" applyFont="1" applyFill="1"/>
    <xf numFmtId="4" fontId="0" fillId="5" borderId="0" xfId="0" applyNumberFormat="1" applyFill="1"/>
    <xf numFmtId="2" fontId="0" fillId="5" borderId="0" xfId="0" applyNumberFormat="1" applyFill="1"/>
    <xf numFmtId="10" fontId="0" fillId="0" borderId="0" xfId="3" applyNumberFormat="1" applyFont="1" applyFill="1" applyBorder="1"/>
    <xf numFmtId="0" fontId="4" fillId="3" borderId="0" xfId="0" applyFont="1" applyFill="1" applyBorder="1" applyAlignment="1">
      <alignment horizontal="center" vertical="center"/>
    </xf>
    <xf numFmtId="0" fontId="4" fillId="3" borderId="3" xfId="0" applyFont="1" applyFill="1" applyBorder="1" applyAlignment="1">
      <alignment horizontal="center" vertical="center"/>
    </xf>
    <xf numFmtId="0" fontId="7" fillId="7" borderId="0" xfId="0" applyFont="1" applyFill="1" applyAlignment="1">
      <alignment horizontal="left" vertical="center" wrapText="1"/>
    </xf>
    <xf numFmtId="0" fontId="7" fillId="6" borderId="7"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7" xfId="0" applyFont="1" applyFill="1" applyBorder="1" applyAlignment="1">
      <alignment horizontal="center" vertical="center" wrapText="1"/>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horizontal="left" vertical="center" wrapText="1"/>
    </xf>
    <xf numFmtId="0" fontId="7" fillId="6" borderId="0" xfId="0" applyFont="1"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7" fillId="6" borderId="0" xfId="0" applyFont="1" applyFill="1" applyBorder="1" applyAlignment="1">
      <alignment horizontal="left" vertical="center" wrapText="1"/>
    </xf>
    <xf numFmtId="0" fontId="7" fillId="6" borderId="0" xfId="0" applyFont="1" applyFill="1" applyAlignment="1">
      <alignment horizontal="center" vertical="center" wrapText="1"/>
    </xf>
    <xf numFmtId="0" fontId="7" fillId="6" borderId="0" xfId="0" applyNumberFormat="1" applyFont="1" applyFill="1" applyAlignment="1">
      <alignment horizontal="left" vertical="center" wrapText="1"/>
    </xf>
    <xf numFmtId="0" fontId="7" fillId="6" borderId="2" xfId="0" applyNumberFormat="1" applyFont="1" applyFill="1" applyBorder="1" applyAlignment="1">
      <alignment horizontal="left" vertical="center" wrapText="1"/>
    </xf>
    <xf numFmtId="0" fontId="7" fillId="6" borderId="0" xfId="0" applyFont="1" applyFill="1" applyBorder="1" applyAlignment="1">
      <alignment horizontal="center" vertical="center" wrapText="1"/>
    </xf>
    <xf numFmtId="0" fontId="7" fillId="6" borderId="2" xfId="0" applyFont="1" applyFill="1" applyBorder="1" applyAlignment="1">
      <alignment horizontal="center" vertical="center" wrapText="1"/>
    </xf>
  </cellXfs>
  <cellStyles count="5">
    <cellStyle name="Comma" xfId="1" builtinId="3"/>
    <cellStyle name="Currency" xfId="2" builtinId="4"/>
    <cellStyle name="Normal" xfId="0" builtinId="0"/>
    <cellStyle name="Percent" xfId="3" builtinId="5"/>
    <cellStyle name="ShadedHeading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19050</xdr:rowOff>
    </xdr:from>
    <xdr:to>
      <xdr:col>13</xdr:col>
      <xdr:colOff>600075</xdr:colOff>
      <xdr:row>7</xdr:row>
      <xdr:rowOff>171450</xdr:rowOff>
    </xdr:to>
    <xdr:sp macro="" textlink="">
      <xdr:nvSpPr>
        <xdr:cNvPr id="7169" name="Text Box 1"/>
        <xdr:cNvSpPr txBox="1">
          <a:spLocks noChangeArrowheads="1"/>
        </xdr:cNvSpPr>
      </xdr:nvSpPr>
      <xdr:spPr bwMode="auto">
        <a:xfrm>
          <a:off x="4886325" y="400050"/>
          <a:ext cx="2428875" cy="1152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Note: The year in cell B4 is the one which all of years in this workbook depend on.  To change all dates, change B4 to another year.  This will also be reflected in the text in these workbooks.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25</xdr:row>
      <xdr:rowOff>114300</xdr:rowOff>
    </xdr:from>
    <xdr:to>
      <xdr:col>14</xdr:col>
      <xdr:colOff>19050</xdr:colOff>
      <xdr:row>39</xdr:row>
      <xdr:rowOff>9525</xdr:rowOff>
    </xdr:to>
    <xdr:sp macro="" textlink="">
      <xdr:nvSpPr>
        <xdr:cNvPr id="2" name="TextBox 1"/>
        <xdr:cNvSpPr txBox="1"/>
      </xdr:nvSpPr>
      <xdr:spPr>
        <a:xfrm>
          <a:off x="7858125" y="5143500"/>
          <a:ext cx="3657600"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For Publicly</a:t>
          </a:r>
          <a:r>
            <a:rPr lang="en-US" sz="1100" b="1" u="sng" baseline="0"/>
            <a:t> Traded Firm</a:t>
          </a:r>
          <a:endParaRPr lang="en-US" sz="1100" b="1" u="sng"/>
        </a:p>
        <a:p>
          <a:r>
            <a:rPr lang="en-US" sz="1100"/>
            <a:t>Z = 1.2</a:t>
          </a:r>
          <a:r>
            <a:rPr lang="en-US" sz="1100" baseline="0"/>
            <a:t>(X1) + </a:t>
          </a:r>
          <a:r>
            <a:rPr lang="en-US" sz="1100">
              <a:solidFill>
                <a:schemeClr val="dk1"/>
              </a:solidFill>
              <a:latin typeface="+mn-lt"/>
              <a:ea typeface="+mn-ea"/>
              <a:cs typeface="+mn-cs"/>
            </a:rPr>
            <a:t>1.4</a:t>
          </a:r>
          <a:r>
            <a:rPr lang="en-US" sz="1100" baseline="0">
              <a:solidFill>
                <a:schemeClr val="dk1"/>
              </a:solidFill>
              <a:latin typeface="+mn-lt"/>
              <a:ea typeface="+mn-ea"/>
              <a:cs typeface="+mn-cs"/>
            </a:rPr>
            <a:t>(X2) + 3.3(X3) + 0.6(X4) + X5 </a:t>
          </a:r>
        </a:p>
        <a:p>
          <a:r>
            <a:rPr lang="en-US" sz="1100" baseline="0">
              <a:solidFill>
                <a:schemeClr val="dk1"/>
              </a:solidFill>
              <a:latin typeface="+mn-lt"/>
              <a:ea typeface="+mn-ea"/>
              <a:cs typeface="+mn-cs"/>
            </a:rPr>
            <a:t>where: </a:t>
          </a:r>
        </a:p>
        <a:p>
          <a:r>
            <a:rPr lang="en-US" sz="1100" baseline="0">
              <a:solidFill>
                <a:schemeClr val="dk1"/>
              </a:solidFill>
              <a:latin typeface="+mn-lt"/>
              <a:ea typeface="+mn-ea"/>
              <a:cs typeface="+mn-cs"/>
            </a:rPr>
            <a:t>X1= </a:t>
          </a:r>
          <a:r>
            <a:rPr lang="en-US" sz="1100" i="1" baseline="0">
              <a:solidFill>
                <a:schemeClr val="dk1"/>
              </a:solidFill>
              <a:latin typeface="+mn-lt"/>
              <a:ea typeface="+mn-ea"/>
              <a:cs typeface="+mn-cs"/>
            </a:rPr>
            <a:t>net working capital / total assets</a:t>
          </a:r>
        </a:p>
        <a:p>
          <a:r>
            <a:rPr lang="en-US" sz="1100" baseline="0">
              <a:solidFill>
                <a:schemeClr val="dk1"/>
              </a:solidFill>
              <a:latin typeface="+mn-lt"/>
              <a:ea typeface="+mn-ea"/>
              <a:cs typeface="+mn-cs"/>
            </a:rPr>
            <a:t>X2= </a:t>
          </a:r>
          <a:r>
            <a:rPr lang="en-US" sz="1100" i="1" baseline="0">
              <a:solidFill>
                <a:schemeClr val="dk1"/>
              </a:solidFill>
              <a:latin typeface="+mn-lt"/>
              <a:ea typeface="+mn-ea"/>
              <a:cs typeface="+mn-cs"/>
            </a:rPr>
            <a:t>retained earnings / total assets</a:t>
          </a:r>
        </a:p>
        <a:p>
          <a:r>
            <a:rPr lang="en-US" sz="1100" baseline="0">
              <a:solidFill>
                <a:schemeClr val="dk1"/>
              </a:solidFill>
              <a:latin typeface="+mn-lt"/>
              <a:ea typeface="+mn-ea"/>
              <a:cs typeface="+mn-cs"/>
            </a:rPr>
            <a:t>X3= </a:t>
          </a:r>
          <a:r>
            <a:rPr lang="en-US" sz="1100" i="1" baseline="0">
              <a:solidFill>
                <a:schemeClr val="dk1"/>
              </a:solidFill>
              <a:latin typeface="+mn-lt"/>
              <a:ea typeface="+mn-ea"/>
              <a:cs typeface="+mn-cs"/>
            </a:rPr>
            <a:t>EBIT / total assets</a:t>
          </a:r>
        </a:p>
        <a:p>
          <a:r>
            <a:rPr lang="en-US" sz="1100" baseline="0">
              <a:solidFill>
                <a:schemeClr val="dk1"/>
              </a:solidFill>
              <a:latin typeface="+mn-lt"/>
              <a:ea typeface="+mn-ea"/>
              <a:cs typeface="+mn-cs"/>
            </a:rPr>
            <a:t>X4 =</a:t>
          </a:r>
          <a:r>
            <a:rPr lang="en-US" sz="1100" i="1" baseline="0">
              <a:solidFill>
                <a:schemeClr val="dk1"/>
              </a:solidFill>
              <a:latin typeface="+mn-lt"/>
              <a:ea typeface="+mn-ea"/>
              <a:cs typeface="+mn-cs"/>
            </a:rPr>
            <a:t>Market value of all equity / book value of total liabilities</a:t>
          </a:r>
        </a:p>
        <a:p>
          <a:r>
            <a:rPr lang="en-US" sz="1100" i="0" baseline="0">
              <a:solidFill>
                <a:schemeClr val="dk1"/>
              </a:solidFill>
              <a:latin typeface="+mn-lt"/>
              <a:ea typeface="+mn-ea"/>
              <a:cs typeface="+mn-cs"/>
            </a:rPr>
            <a:t>X5= </a:t>
          </a:r>
          <a:r>
            <a:rPr lang="en-US" sz="1100" i="1" baseline="0">
              <a:solidFill>
                <a:schemeClr val="dk1"/>
              </a:solidFill>
              <a:latin typeface="+mn-lt"/>
              <a:ea typeface="+mn-ea"/>
              <a:cs typeface="+mn-cs"/>
            </a:rPr>
            <a:t>Sales / total assets</a:t>
          </a:r>
        </a:p>
        <a:p>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r>
            <a:rPr lang="en-US" sz="1100" b="1" u="sng">
              <a:solidFill>
                <a:schemeClr val="dk1"/>
              </a:solidFill>
              <a:latin typeface="+mn-lt"/>
              <a:ea typeface="+mn-ea"/>
              <a:cs typeface="+mn-cs"/>
            </a:rPr>
            <a:t>For Privately </a:t>
          </a:r>
          <a:r>
            <a:rPr lang="en-US" sz="1100" b="1" u="sng" baseline="0">
              <a:solidFill>
                <a:schemeClr val="dk1"/>
              </a:solidFill>
              <a:latin typeface="+mn-lt"/>
              <a:ea typeface="+mn-ea"/>
              <a:cs typeface="+mn-cs"/>
            </a:rPr>
            <a:t>Traded Firm</a:t>
          </a:r>
          <a:endParaRPr lang="en-US" sz="1100" b="1" u="sng">
            <a:solidFill>
              <a:schemeClr val="dk1"/>
            </a:solidFill>
            <a:latin typeface="+mn-lt"/>
            <a:ea typeface="+mn-ea"/>
            <a:cs typeface="+mn-cs"/>
          </a:endParaRPr>
        </a:p>
        <a:p>
          <a:r>
            <a:rPr lang="en-US" sz="1100">
              <a:solidFill>
                <a:schemeClr val="dk1"/>
              </a:solidFill>
              <a:latin typeface="+mn-lt"/>
              <a:ea typeface="+mn-ea"/>
              <a:cs typeface="+mn-cs"/>
            </a:rPr>
            <a:t>Z = 0.717</a:t>
          </a:r>
          <a:r>
            <a:rPr lang="en-US" sz="1100" baseline="0">
              <a:solidFill>
                <a:schemeClr val="dk1"/>
              </a:solidFill>
              <a:latin typeface="+mn-lt"/>
              <a:ea typeface="+mn-ea"/>
              <a:cs typeface="+mn-cs"/>
            </a:rPr>
            <a:t>(X1) + 0.847(X2) + 3.107(X3) + 0.420(X4) + 0.998(X5) </a:t>
          </a:r>
          <a:endParaRPr lang="en-US"/>
        </a:p>
        <a:p>
          <a:r>
            <a:rPr lang="en-US" sz="1100" baseline="0">
              <a:solidFill>
                <a:schemeClr val="dk1"/>
              </a:solidFill>
              <a:latin typeface="+mn-lt"/>
              <a:ea typeface="+mn-ea"/>
              <a:cs typeface="+mn-cs"/>
            </a:rPr>
            <a:t>where: </a:t>
          </a:r>
          <a:endParaRPr lang="en-US"/>
        </a:p>
        <a:p>
          <a:r>
            <a:rPr lang="en-US" sz="1100" baseline="0">
              <a:solidFill>
                <a:schemeClr val="dk1"/>
              </a:solidFill>
              <a:latin typeface="+mn-lt"/>
              <a:ea typeface="+mn-ea"/>
              <a:cs typeface="+mn-cs"/>
            </a:rPr>
            <a:t>X4 = </a:t>
          </a:r>
          <a:r>
            <a:rPr lang="en-US" sz="1100" i="1" baseline="0">
              <a:solidFill>
                <a:schemeClr val="dk1"/>
              </a:solidFill>
              <a:latin typeface="+mn-lt"/>
              <a:ea typeface="+mn-ea"/>
              <a:cs typeface="+mn-cs"/>
            </a:rPr>
            <a:t>Book value of all equity / book value of total liabilities</a:t>
          </a:r>
          <a:endParaRPr lang="en-US" i="1"/>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8"/>
  <sheetViews>
    <sheetView workbookViewId="0">
      <selection activeCell="C20" sqref="C20"/>
    </sheetView>
  </sheetViews>
  <sheetFormatPr defaultRowHeight="15" x14ac:dyDescent="0.25"/>
  <cols>
    <col min="1" max="1" width="24.28515625" bestFit="1" customWidth="1"/>
    <col min="2" max="2" width="10.7109375" customWidth="1"/>
    <col min="3" max="3" width="10.85546875" customWidth="1"/>
    <col min="6" max="6" width="24.28515625" bestFit="1" customWidth="1"/>
    <col min="7" max="8" width="9.7109375" bestFit="1" customWidth="1"/>
    <col min="9" max="9" width="9.5703125" style="124" bestFit="1" customWidth="1"/>
    <col min="12" max="12" width="9.28515625" bestFit="1" customWidth="1"/>
    <col min="13" max="13" width="9.7109375" bestFit="1" customWidth="1"/>
  </cols>
  <sheetData>
    <row r="1" spans="1:9" x14ac:dyDescent="0.25">
      <c r="A1" s="23" t="s">
        <v>0</v>
      </c>
      <c r="B1" s="11"/>
      <c r="C1" s="11"/>
      <c r="F1" s="23" t="str">
        <f t="shared" ref="F1:F18" si="0">A1</f>
        <v>Elvis Products International</v>
      </c>
      <c r="G1" s="11"/>
      <c r="H1" s="11"/>
    </row>
    <row r="2" spans="1:9" x14ac:dyDescent="0.25">
      <c r="A2" s="23" t="s">
        <v>1</v>
      </c>
      <c r="B2" s="11"/>
      <c r="C2" s="11"/>
      <c r="F2" s="23" t="str">
        <f>"Common Size and Percentage Chagnge"&amp;" "&amp;A2</f>
        <v>Common Size and Percentage Chagnge Income Statement</v>
      </c>
      <c r="G2" s="11"/>
      <c r="H2" s="11"/>
      <c r="I2" s="162"/>
    </row>
    <row r="3" spans="1:9" ht="15.75" thickBot="1" x14ac:dyDescent="0.3">
      <c r="A3" s="46" t="str">
        <f>"For the Year Ended Dec. 31, "&amp;TEXT(B4,"#000")</f>
        <v>For the Year Ended Dec. 31, 2009</v>
      </c>
      <c r="B3" s="11"/>
      <c r="C3" s="11"/>
      <c r="F3" s="46" t="str">
        <f t="shared" si="0"/>
        <v>For the Year Ended Dec. 31, 2009</v>
      </c>
      <c r="G3" s="11"/>
      <c r="H3" s="11"/>
    </row>
    <row r="4" spans="1:9" ht="15.75" customHeight="1" x14ac:dyDescent="0.25">
      <c r="A4" s="47"/>
      <c r="B4" s="48">
        <v>2009</v>
      </c>
      <c r="C4" s="48">
        <f>B4-1</f>
        <v>2008</v>
      </c>
      <c r="F4" s="47"/>
      <c r="G4" s="48">
        <f t="shared" ref="G4:G18" si="1">B4</f>
        <v>2009</v>
      </c>
      <c r="H4" s="48">
        <f t="shared" ref="H4" si="2">C4</f>
        <v>2008</v>
      </c>
      <c r="I4" s="16" t="s">
        <v>83</v>
      </c>
    </row>
    <row r="5" spans="1:9" ht="15.75" customHeight="1" x14ac:dyDescent="0.25">
      <c r="A5" s="12" t="s">
        <v>2</v>
      </c>
      <c r="B5" s="31">
        <v>3850000</v>
      </c>
      <c r="C5" s="31">
        <v>3432000</v>
      </c>
      <c r="E5" s="24"/>
      <c r="F5" s="12" t="str">
        <f t="shared" si="0"/>
        <v>Sales</v>
      </c>
      <c r="G5" s="104">
        <f>B5/B$5</f>
        <v>1</v>
      </c>
      <c r="H5" s="104">
        <f>C5/C$5</f>
        <v>1</v>
      </c>
      <c r="I5" s="157">
        <f>B5/C5-1</f>
        <v>0.12179487179487181</v>
      </c>
    </row>
    <row r="6" spans="1:9" ht="15.75" customHeight="1" x14ac:dyDescent="0.25">
      <c r="A6" s="12" t="s">
        <v>3</v>
      </c>
      <c r="B6" s="49">
        <v>3250000</v>
      </c>
      <c r="C6" s="49">
        <v>2864000</v>
      </c>
      <c r="F6" s="12" t="str">
        <f t="shared" si="0"/>
        <v>Cost of Goods Sold</v>
      </c>
      <c r="G6" s="105">
        <f t="shared" ref="G6:H15" si="3">B6/B$5</f>
        <v>0.8441558441558441</v>
      </c>
      <c r="H6" s="105">
        <f t="shared" si="3"/>
        <v>0.83449883449883455</v>
      </c>
      <c r="I6" s="158">
        <f t="shared" ref="I6:I14" si="4">B6/C6-1</f>
        <v>0.13477653631284925</v>
      </c>
    </row>
    <row r="7" spans="1:9" ht="15.75" customHeight="1" x14ac:dyDescent="0.25">
      <c r="A7" s="13" t="s">
        <v>4</v>
      </c>
      <c r="B7" s="50">
        <f>B5-B6</f>
        <v>600000</v>
      </c>
      <c r="C7" s="50">
        <f>C5-C6</f>
        <v>568000</v>
      </c>
      <c r="F7" s="13" t="str">
        <f t="shared" si="0"/>
        <v>Gross Profit</v>
      </c>
      <c r="G7" s="106">
        <f t="shared" si="3"/>
        <v>0.15584415584415584</v>
      </c>
      <c r="H7" s="106">
        <f t="shared" si="3"/>
        <v>0.1655011655011655</v>
      </c>
      <c r="I7" s="157">
        <f t="shared" si="4"/>
        <v>5.6338028169014009E-2</v>
      </c>
    </row>
    <row r="8" spans="1:9" ht="15.75" customHeight="1" x14ac:dyDescent="0.25">
      <c r="A8" s="12" t="s">
        <v>5</v>
      </c>
      <c r="B8" s="31">
        <v>330300</v>
      </c>
      <c r="C8" s="31">
        <v>240000</v>
      </c>
      <c r="F8" s="12" t="str">
        <f t="shared" si="0"/>
        <v>Selling and G&amp;A Expenses</v>
      </c>
      <c r="G8" s="104">
        <f t="shared" si="3"/>
        <v>8.5792207792207795E-2</v>
      </c>
      <c r="H8" s="104">
        <f>C8/C$5</f>
        <v>6.9930069930069935E-2</v>
      </c>
      <c r="I8" s="157">
        <f t="shared" si="4"/>
        <v>0.37624999999999997</v>
      </c>
    </row>
    <row r="9" spans="1:9" ht="15.75" customHeight="1" x14ac:dyDescent="0.25">
      <c r="A9" s="12" t="s">
        <v>6</v>
      </c>
      <c r="B9" s="31">
        <v>100000</v>
      </c>
      <c r="C9" s="31">
        <v>100000</v>
      </c>
      <c r="D9" s="33"/>
      <c r="F9" s="12" t="str">
        <f t="shared" si="0"/>
        <v>Fixed Expenses</v>
      </c>
      <c r="G9" s="104">
        <f t="shared" si="3"/>
        <v>2.5974025974025976E-2</v>
      </c>
      <c r="H9" s="104">
        <f t="shared" si="3"/>
        <v>2.9137529137529136E-2</v>
      </c>
      <c r="I9" s="157">
        <f t="shared" si="4"/>
        <v>0</v>
      </c>
    </row>
    <row r="10" spans="1:9" ht="15.75" customHeight="1" x14ac:dyDescent="0.25">
      <c r="A10" s="12" t="s">
        <v>7</v>
      </c>
      <c r="B10" s="49">
        <v>20000</v>
      </c>
      <c r="C10" s="49">
        <v>18900</v>
      </c>
      <c r="F10" s="12" t="str">
        <f t="shared" si="0"/>
        <v>Depreciation Expense</v>
      </c>
      <c r="G10" s="105">
        <f t="shared" si="3"/>
        <v>5.1948051948051948E-3</v>
      </c>
      <c r="H10" s="105">
        <f t="shared" si="3"/>
        <v>5.5069930069930068E-3</v>
      </c>
      <c r="I10" s="158">
        <f t="shared" si="4"/>
        <v>5.8201058201058142E-2</v>
      </c>
    </row>
    <row r="11" spans="1:9" ht="15.75" customHeight="1" x14ac:dyDescent="0.25">
      <c r="A11" s="13" t="s">
        <v>8</v>
      </c>
      <c r="B11" s="50">
        <f>B7-SUM(B8:B10)</f>
        <v>149700</v>
      </c>
      <c r="C11" s="50">
        <f>C7-SUM(C8:C10)</f>
        <v>209100</v>
      </c>
      <c r="F11" s="13" t="str">
        <f t="shared" si="0"/>
        <v>EBIT</v>
      </c>
      <c r="G11" s="106">
        <f t="shared" si="3"/>
        <v>3.8883116883116881E-2</v>
      </c>
      <c r="H11" s="106">
        <f t="shared" si="3"/>
        <v>6.0926573426573427E-2</v>
      </c>
      <c r="I11" s="157">
        <f t="shared" si="4"/>
        <v>-0.28407460545193686</v>
      </c>
    </row>
    <row r="12" spans="1:9" ht="15.75" customHeight="1" x14ac:dyDescent="0.25">
      <c r="A12" s="12" t="s">
        <v>9</v>
      </c>
      <c r="B12" s="49">
        <v>76000</v>
      </c>
      <c r="C12" s="49">
        <v>62500</v>
      </c>
      <c r="F12" s="12" t="str">
        <f t="shared" si="0"/>
        <v>Interest Expense</v>
      </c>
      <c r="G12" s="105">
        <f t="shared" si="3"/>
        <v>1.9740259740259742E-2</v>
      </c>
      <c r="H12" s="105">
        <f t="shared" si="3"/>
        <v>1.8210955710955712E-2</v>
      </c>
      <c r="I12" s="158">
        <f>B12/C12-1</f>
        <v>0.21599999999999997</v>
      </c>
    </row>
    <row r="13" spans="1:9" ht="15.75" customHeight="1" x14ac:dyDescent="0.25">
      <c r="A13" s="13" t="s">
        <v>10</v>
      </c>
      <c r="B13" s="50">
        <f>B11-B12</f>
        <v>73700</v>
      </c>
      <c r="C13" s="50">
        <f>C11-C12</f>
        <v>146600</v>
      </c>
      <c r="F13" s="13" t="str">
        <f t="shared" si="0"/>
        <v>Earnings Before Taxes</v>
      </c>
      <c r="G13" s="106">
        <f t="shared" si="3"/>
        <v>1.9142857142857142E-2</v>
      </c>
      <c r="H13" s="106">
        <f t="shared" si="3"/>
        <v>4.2715617715617715E-2</v>
      </c>
      <c r="I13" s="157">
        <f t="shared" si="4"/>
        <v>-0.49727148703956348</v>
      </c>
    </row>
    <row r="14" spans="1:9" ht="15.75" customHeight="1" x14ac:dyDescent="0.25">
      <c r="A14" s="12" t="s">
        <v>65</v>
      </c>
      <c r="B14" s="49">
        <f>B13*$B18</f>
        <v>29480</v>
      </c>
      <c r="C14" s="49">
        <f>C13*$B18</f>
        <v>58640</v>
      </c>
      <c r="F14" s="12" t="str">
        <f t="shared" si="0"/>
        <v>Taxes</v>
      </c>
      <c r="G14" s="105">
        <f t="shared" si="3"/>
        <v>7.6571428571428572E-3</v>
      </c>
      <c r="H14" s="105">
        <f t="shared" si="3"/>
        <v>1.7086247086247085E-2</v>
      </c>
      <c r="I14" s="158">
        <f t="shared" si="4"/>
        <v>-0.49727148703956348</v>
      </c>
    </row>
    <row r="15" spans="1:9" ht="15.75" thickBot="1" x14ac:dyDescent="0.3">
      <c r="A15" s="13" t="s">
        <v>11</v>
      </c>
      <c r="B15" s="51">
        <f>B13-B14</f>
        <v>44220</v>
      </c>
      <c r="C15" s="51">
        <f>C13-C14</f>
        <v>87960</v>
      </c>
      <c r="F15" s="13" t="str">
        <f t="shared" si="0"/>
        <v>Net Income</v>
      </c>
      <c r="G15" s="107">
        <f t="shared" si="3"/>
        <v>1.1485714285714285E-2</v>
      </c>
      <c r="H15" s="107">
        <f t="shared" si="3"/>
        <v>2.5629370629370631E-2</v>
      </c>
      <c r="I15" s="159">
        <f>B15/C15-1</f>
        <v>-0.49727148703956348</v>
      </c>
    </row>
    <row r="16" spans="1:9" ht="15.75" thickTop="1" x14ac:dyDescent="0.25"/>
    <row r="17" spans="1:13" x14ac:dyDescent="0.25">
      <c r="A17" t="s">
        <v>64</v>
      </c>
      <c r="F17" t="str">
        <f t="shared" si="0"/>
        <v>Notes:</v>
      </c>
      <c r="L17" s="174"/>
      <c r="M17" s="173"/>
    </row>
    <row r="18" spans="1:13" x14ac:dyDescent="0.25">
      <c r="A18" t="s">
        <v>63</v>
      </c>
      <c r="B18" s="29">
        <v>0.4</v>
      </c>
      <c r="F18" t="str">
        <f t="shared" si="0"/>
        <v>Tax Rate</v>
      </c>
      <c r="G18" s="29">
        <f t="shared" si="1"/>
        <v>0.4</v>
      </c>
    </row>
  </sheetData>
  <phoneticPr fontId="15" type="noConversion"/>
  <printOptions gridLines="1" gridLinesSet="0"/>
  <pageMargins left="0.25" right="0.2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tabSelected="1" zoomScale="110" zoomScaleNormal="110" workbookViewId="0">
      <pane ySplit="3" topLeftCell="A31" activePane="bottomLeft" state="frozen"/>
      <selection pane="bottomLeft" activeCell="E34" sqref="E34"/>
    </sheetView>
  </sheetViews>
  <sheetFormatPr defaultRowHeight="15" x14ac:dyDescent="0.25"/>
  <cols>
    <col min="1" max="1" width="40.7109375" style="120" customWidth="1"/>
    <col min="2" max="2" width="11.7109375" style="120" bestFit="1" customWidth="1"/>
    <col min="3" max="3" width="13.28515625" style="120" bestFit="1" customWidth="1"/>
    <col min="4" max="4" width="10" style="120" bestFit="1" customWidth="1"/>
    <col min="5" max="5" width="60.85546875" style="119" customWidth="1"/>
    <col min="6" max="7" width="13.140625" style="120" customWidth="1"/>
    <col min="8" max="16384" width="9.140625" style="120"/>
  </cols>
  <sheetData>
    <row r="1" spans="1:7" x14ac:dyDescent="0.25">
      <c r="A1" s="125" t="str">
        <f>'Income Statement'!A1</f>
        <v>Elvis Products International</v>
      </c>
      <c r="B1" s="125"/>
      <c r="C1" s="125"/>
    </row>
    <row r="2" spans="1:7" x14ac:dyDescent="0.25">
      <c r="A2" s="125" t="str">
        <f>"Ratio Analysis for "&amp;TEXT(C3,"####")&amp;" and "&amp;TEXT(B3,"####")</f>
        <v>Ratio Analysis for 2008 and 2009</v>
      </c>
      <c r="B2" s="125"/>
      <c r="C2" s="125"/>
    </row>
    <row r="3" spans="1:7" s="119" customFormat="1" ht="29.25" thickBot="1" x14ac:dyDescent="0.3">
      <c r="A3" s="93" t="s">
        <v>33</v>
      </c>
      <c r="B3" s="92">
        <f>'Income Statement'!B4</f>
        <v>2009</v>
      </c>
      <c r="C3" s="92">
        <f>'Income Statement'!C4</f>
        <v>2008</v>
      </c>
      <c r="D3" s="94" t="str">
        <f>"Industry "&amp;TEXT(B3,"#000")</f>
        <v>Industry 2009</v>
      </c>
      <c r="E3" s="167" t="s">
        <v>84</v>
      </c>
      <c r="F3" s="167"/>
      <c r="G3" s="123" t="s">
        <v>91</v>
      </c>
    </row>
    <row r="4" spans="1:7" ht="15.75" thickBot="1" x14ac:dyDescent="0.3">
      <c r="A4" s="91" t="s">
        <v>34</v>
      </c>
      <c r="B4" s="91"/>
      <c r="C4" s="91"/>
      <c r="D4" s="91"/>
      <c r="E4" s="91"/>
      <c r="F4" s="91"/>
      <c r="G4" s="91"/>
    </row>
    <row r="5" spans="1:7" ht="33" customHeight="1" x14ac:dyDescent="0.25">
      <c r="A5" s="126" t="s">
        <v>72</v>
      </c>
      <c r="B5" s="127">
        <f>'Balance Sheet'!B9/'Balance Sheet'!B18</f>
        <v>2.3880044427989633</v>
      </c>
      <c r="C5" s="128">
        <f>'Balance Sheet'!C9/'Balance Sheet'!C18</f>
        <v>2.3338870431893688</v>
      </c>
      <c r="D5" s="129">
        <v>2.7</v>
      </c>
      <c r="E5" s="187" t="str">
        <f>"What contributes to the increase of CR is inventotry. Among the current assets, inventory increased the most in 2009 - around"&amp;" "&amp;TEXT('Balance Sheet'!H8,"0.00%")&amp;", see BS. Overall, the firm is considerd less liquied compared to an average firm in its"</f>
        <v>What contributes to the increase of CR is inventotry. Among the current assets, inventory increased the most in 2009 - around 16.89%, see BS. Overall, the firm is considerd less liquied compared to an average firm in its</v>
      </c>
      <c r="F5" s="187"/>
      <c r="G5" s="197" t="s">
        <v>89</v>
      </c>
    </row>
    <row r="6" spans="1:7" ht="33" customHeight="1" thickBot="1" x14ac:dyDescent="0.3">
      <c r="A6" s="130" t="s">
        <v>73</v>
      </c>
      <c r="B6" s="128">
        <f>('Balance Sheet'!B9-'Balance Sheet'!B8)/'Balance Sheet'!B18</f>
        <v>0.84042947056645689</v>
      </c>
      <c r="C6" s="128">
        <f>('Balance Sheet'!C9-'Balance Sheet'!C8)/'Balance Sheet'!C18</f>
        <v>0.84883720930232553</v>
      </c>
      <c r="D6" s="129">
        <v>1</v>
      </c>
      <c r="E6" s="188"/>
      <c r="F6" s="188"/>
      <c r="G6" s="190"/>
    </row>
    <row r="7" spans="1:7" ht="15.75" thickBot="1" x14ac:dyDescent="0.3">
      <c r="A7" s="91" t="s">
        <v>35</v>
      </c>
      <c r="B7" s="91"/>
      <c r="C7" s="91"/>
      <c r="D7" s="91"/>
      <c r="E7" s="91"/>
      <c r="F7" s="91"/>
      <c r="G7" s="91"/>
    </row>
    <row r="8" spans="1:7" ht="60.75" customHeight="1" x14ac:dyDescent="0.25">
      <c r="A8" s="126" t="s">
        <v>36</v>
      </c>
      <c r="B8" s="127">
        <f>'Income Statement'!B6/'Balance Sheet'!B8</f>
        <v>3.8875598086124401</v>
      </c>
      <c r="C8" s="127">
        <f>'Income Statement'!C6/'Balance Sheet'!C8</f>
        <v>4.0044742729306488</v>
      </c>
      <c r="D8" s="129">
        <v>7</v>
      </c>
      <c r="E8" s="187" t="str">
        <f>"InvTO: Inv. has increased overtime"&amp;" "&amp;TEXT('Balance Sheet'!H8,"0.00%")&amp;" "&amp;"at a rate higher than sales"&amp;" "&amp;TEXT('Income Statement'!I5,"0.00%")&amp;" "&amp;". This caused ratio to decline. There could be too much inventory, or old inventory that could not be sold (obsolete). Also, comparing with the industy, the inv."&amp;" "&amp;"Mangement is doing a very bad job. Given Sales, the firm do not need that much inv such sales."</f>
        <v>InvTO: Inv. has increased overtime 16.89% at a rate higher than sales 12.18% . This caused ratio to decline. There could be too much inventory, or old inventory that could not be sold (obsolete). Also, comparing with the industy, the inv. Mangement is doing a very bad job. Given Sales, the firm do not need that much inv such sales.</v>
      </c>
      <c r="F8" s="187"/>
      <c r="G8" s="190" t="s">
        <v>85</v>
      </c>
    </row>
    <row r="9" spans="1:7" ht="21" customHeight="1" x14ac:dyDescent="0.25">
      <c r="A9" s="126" t="s">
        <v>37</v>
      </c>
      <c r="B9" s="127">
        <f>'Income Statement'!B5/'Balance Sheet'!B7</f>
        <v>9.5771144278606961</v>
      </c>
      <c r="C9" s="127">
        <f>'Income Statement'!C5/'Balance Sheet'!C7</f>
        <v>9.7722095671981783</v>
      </c>
      <c r="D9" s="129">
        <v>10.7</v>
      </c>
      <c r="E9" s="198" t="str">
        <f>"ARTO: have problems collection sales. Could turn to bad debt at the end. AR has increased by" &amp; " " &amp;TEXT('Balance Sheet'!H7,"0.00%")&amp;" whereas, sales increased by"&amp;TEXT('Income Statement'!I5,"0.00%")&amp;" Also, ACP reflects the same issue"</f>
        <v>ARTO: have problems collection sales. Could turn to bad debt at the end. AR has increased by 14.46% whereas, sales increased by12.18% Also, ACP reflects the same issue</v>
      </c>
      <c r="F9" s="198"/>
      <c r="G9" s="190"/>
    </row>
    <row r="10" spans="1:7" ht="21" customHeight="1" x14ac:dyDescent="0.25">
      <c r="A10" s="131" t="s">
        <v>38</v>
      </c>
      <c r="B10" s="132">
        <f>'Balance Sheet'!B7/('Income Statement'!B5/360)</f>
        <v>37.589610389610385</v>
      </c>
      <c r="C10" s="132">
        <f>'Balance Sheet'!C7/('Income Statement'!C5/360)</f>
        <v>36.83916083916084</v>
      </c>
      <c r="D10" s="133">
        <f>360/D9</f>
        <v>33.644859813084118</v>
      </c>
      <c r="E10" s="198"/>
      <c r="F10" s="198"/>
      <c r="G10" s="190"/>
    </row>
    <row r="11" spans="1:7" ht="25.5" customHeight="1" x14ac:dyDescent="0.25">
      <c r="A11" s="126" t="s">
        <v>39</v>
      </c>
      <c r="B11" s="127">
        <f>'Income Statement'!B5/'Balance Sheet'!B12</f>
        <v>10.670731707317072</v>
      </c>
      <c r="C11" s="127">
        <f>'Income Statement'!C5/'Balance Sheet'!C12</f>
        <v>9.9535962877030162</v>
      </c>
      <c r="D11" s="129">
        <v>11.2</v>
      </c>
      <c r="E11" s="198" t="s">
        <v>92</v>
      </c>
      <c r="F11" s="198"/>
      <c r="G11" s="190"/>
    </row>
    <row r="12" spans="1:7" ht="25.5" customHeight="1" thickBot="1" x14ac:dyDescent="0.3">
      <c r="A12" s="126" t="s">
        <v>40</v>
      </c>
      <c r="B12" s="127">
        <f>'Income Statement'!B5/'Balance Sheet'!B13</f>
        <v>2.3322025684516596</v>
      </c>
      <c r="C12" s="127">
        <f>'Income Statement'!C5/'Balance Sheet'!C13</f>
        <v>2.3366013071895426</v>
      </c>
      <c r="D12" s="129">
        <v>2.6</v>
      </c>
      <c r="E12" s="199"/>
      <c r="F12" s="199"/>
      <c r="G12" s="190"/>
    </row>
    <row r="13" spans="1:7" ht="15.75" thickBot="1" x14ac:dyDescent="0.3">
      <c r="A13" s="91" t="s">
        <v>41</v>
      </c>
      <c r="B13" s="91"/>
      <c r="C13" s="91"/>
      <c r="D13" s="91"/>
      <c r="E13" s="91"/>
      <c r="F13" s="91"/>
      <c r="G13" s="91"/>
    </row>
    <row r="14" spans="1:7" ht="15" customHeight="1" x14ac:dyDescent="0.25">
      <c r="A14" s="131" t="s">
        <v>42</v>
      </c>
      <c r="B14" s="134">
        <f>'Balance Sheet'!B20/'Balance Sheet'!B13</f>
        <v>0.58445117518778777</v>
      </c>
      <c r="C14" s="134">
        <f>'Balance Sheet'!C20/'Balance Sheet'!C13</f>
        <v>0.54808823529411765</v>
      </c>
      <c r="D14" s="135">
        <v>0.5</v>
      </c>
      <c r="E14" s="189" t="str">
        <f>"All these debt ratios indicate problems using debt financing. Mainly, the firm has increased its LTD " &amp; TEXT('Balance Sheet'!H19, "0.00%") &amp;", which cosequently will increase interest payments and affect at the end profitability. " &amp;"Finally, amount of LTD is even much more than that in an average firm in its industry. Thus, the firm is more prone to financial distress than an average firm in its industry"</f>
        <v>All these debt ratios indicate problems using debt financing. Mainly, the firm has increased its LTD 31.28%, which cosequently will increase interest payments and affect at the end profitability. Finally, amount of LTD is even much more than that in an average firm in its industry. Thus, the firm is more prone to financial distress than an average firm in its industry</v>
      </c>
      <c r="F14" s="189"/>
      <c r="G14" s="197" t="s">
        <v>86</v>
      </c>
    </row>
    <row r="15" spans="1:7" ht="15" customHeight="1" x14ac:dyDescent="0.25">
      <c r="A15" s="131" t="s">
        <v>43</v>
      </c>
      <c r="B15" s="134">
        <f>'Balance Sheet'!B19/'Balance Sheet'!B13</f>
        <v>0.25721589532347955</v>
      </c>
      <c r="C15" s="134">
        <f>'Balance Sheet'!C19/'Balance Sheet'!C13</f>
        <v>0.22020152505446622</v>
      </c>
      <c r="D15" s="136">
        <v>0.2</v>
      </c>
      <c r="E15" s="200"/>
      <c r="F15" s="200"/>
      <c r="G15" s="190"/>
    </row>
    <row r="16" spans="1:7" ht="15" customHeight="1" x14ac:dyDescent="0.25">
      <c r="A16" s="131" t="s">
        <v>44</v>
      </c>
      <c r="B16" s="134">
        <f>'Balance Sheet'!B19/('Balance Sheet'!B23+'Balance Sheet'!B19)</f>
        <v>0.38232667026832345</v>
      </c>
      <c r="C16" s="134">
        <f>'Balance Sheet'!C19/('Balance Sheet'!C23+'Balance Sheet'!C19)</f>
        <v>0.32762560777957861</v>
      </c>
      <c r="D16" s="136">
        <f>1/(1+1/D18)</f>
        <v>0.2857142857142857</v>
      </c>
      <c r="E16" s="200"/>
      <c r="F16" s="200"/>
      <c r="G16" s="190"/>
    </row>
    <row r="17" spans="1:7" ht="15" customHeight="1" x14ac:dyDescent="0.25">
      <c r="A17" s="131" t="s">
        <v>45</v>
      </c>
      <c r="B17" s="137">
        <f>'Balance Sheet'!B20/'Balance Sheet'!B23</f>
        <v>1.4064560896108971</v>
      </c>
      <c r="C17" s="137">
        <f>'Balance Sheet'!C20/'Balance Sheet'!C23</f>
        <v>1.2128213472177025</v>
      </c>
      <c r="D17" s="138">
        <f>D14/(1-D14)</f>
        <v>1</v>
      </c>
      <c r="E17" s="200"/>
      <c r="F17" s="200"/>
      <c r="G17" s="190"/>
    </row>
    <row r="18" spans="1:7" ht="15" customHeight="1" thickBot="1" x14ac:dyDescent="0.3">
      <c r="A18" s="131" t="s">
        <v>46</v>
      </c>
      <c r="B18" s="139">
        <f>'Balance Sheet'!B19/'Balance Sheet'!B23</f>
        <v>0.61897875764590637</v>
      </c>
      <c r="C18" s="139">
        <f>'Balance Sheet'!C19/'Balance Sheet'!C23</f>
        <v>0.48726663533041664</v>
      </c>
      <c r="D18" s="136">
        <f>D15/(1-D14)</f>
        <v>0.4</v>
      </c>
      <c r="E18" s="201"/>
      <c r="F18" s="201"/>
      <c r="G18" s="190"/>
    </row>
    <row r="19" spans="1:7" ht="15.75" thickBot="1" x14ac:dyDescent="0.3">
      <c r="A19" s="91" t="s">
        <v>47</v>
      </c>
      <c r="B19" s="91"/>
      <c r="C19" s="91"/>
      <c r="D19" s="91"/>
      <c r="E19" s="91"/>
      <c r="F19" s="91"/>
      <c r="G19" s="91"/>
    </row>
    <row r="20" spans="1:7" ht="39" customHeight="1" x14ac:dyDescent="0.25">
      <c r="A20" s="126" t="s">
        <v>48</v>
      </c>
      <c r="B20" s="127">
        <f>'Income Statement'!B11/'Income Statement'!B12</f>
        <v>1.9697368421052632</v>
      </c>
      <c r="C20" s="127">
        <f>'Income Statement'!C11/'Income Statement'!C12</f>
        <v>3.3456000000000001</v>
      </c>
      <c r="D20" s="129">
        <v>2.5</v>
      </c>
      <c r="E20" s="187" t="str">
        <f>"Obviously, borrowing more will result in more interest expenses. These ratios show how the firm can meet these expenses from its operation's income. It seems that the firm is over utilizing its debt (LTD), which might cause them to defult. "&amp;"Note that EBIT has decreased by ("&amp;TEXT('Income Statement'!I11,"00.0%")&amp;") while, interest expenses has increased by ("&amp;TEXT('Income Statement'!I12,"0.00%")&amp;")"&amp;". Finally, The operating income in an average firm in its industy is able to cover these interest expenses more than this firm."</f>
        <v>Obviously, borrowing more will result in more interest expenses. These ratios show how the firm can meet these expenses from its operation's income. It seems that the firm is over utilizing its debt (LTD), which might cause them to defult. Note that EBIT has decreased by (-28.4%) while, interest expenses has increased by (21.60%). Finally, The operating income in an average firm in its industy is able to cover these interest expenses more than this firm.</v>
      </c>
      <c r="F20" s="187"/>
      <c r="G20" s="189" t="s">
        <v>93</v>
      </c>
    </row>
    <row r="21" spans="1:7" ht="39" customHeight="1" thickBot="1" x14ac:dyDescent="0.3">
      <c r="A21" s="126" t="s">
        <v>49</v>
      </c>
      <c r="B21" s="127">
        <f>('Income Statement'!B11+'Income Statement'!B10)/'Income Statement'!B12</f>
        <v>2.232894736842105</v>
      </c>
      <c r="C21" s="127">
        <f>('Income Statement'!C11+'Income Statement'!C10)/'Income Statement'!C12</f>
        <v>3.6480000000000001</v>
      </c>
      <c r="D21" s="129">
        <v>2.8</v>
      </c>
      <c r="E21" s="188"/>
      <c r="F21" s="188"/>
      <c r="G21" s="191"/>
    </row>
    <row r="22" spans="1:7" ht="15.75" thickBot="1" x14ac:dyDescent="0.3">
      <c r="A22" s="91" t="s">
        <v>50</v>
      </c>
      <c r="B22" s="91"/>
      <c r="C22" s="91"/>
      <c r="D22" s="91"/>
      <c r="E22" s="91"/>
      <c r="F22" s="91"/>
      <c r="G22" s="91"/>
    </row>
    <row r="23" spans="1:7" ht="45" customHeight="1" x14ac:dyDescent="0.25">
      <c r="A23" s="126" t="s">
        <v>51</v>
      </c>
      <c r="B23" s="139">
        <f>'Income Statement'!B7/'Income Statement'!B5</f>
        <v>0.15584415584415584</v>
      </c>
      <c r="C23" s="139">
        <f>'Income Statement'!C7/'Income Statement'!C5</f>
        <v>0.1655011655011655</v>
      </c>
      <c r="D23" s="136">
        <v>0.17499999999999999</v>
      </c>
      <c r="E23" s="194" t="str">
        <f>"GPM: shows that the CGS has increased more than sales (" &amp; TEXT('Income Statement'!I6,"00.0%") &amp; ") vs (" &amp; TEXT('Income Statement'!I5,"00.0%")&amp; "). Thus, GPM declined"</f>
        <v>GPM: shows that the CGS has increased more than sales (13.5%) vs (12.2%). Thus, GPM declined</v>
      </c>
      <c r="F23" s="194"/>
      <c r="G23" s="189" t="s">
        <v>94</v>
      </c>
    </row>
    <row r="24" spans="1:7" ht="65.25" customHeight="1" x14ac:dyDescent="0.25">
      <c r="A24" s="126" t="s">
        <v>52</v>
      </c>
      <c r="B24" s="139">
        <f>'Income Statement'!B11/'Income Statement'!B5</f>
        <v>3.8883116883116881E-2</v>
      </c>
      <c r="C24" s="139">
        <f>'Income Statement'!C11/'Income Statement'!C5</f>
        <v>6.0926573426573427E-2</v>
      </c>
      <c r="D24" s="136">
        <v>6.25E-2</v>
      </c>
      <c r="E24" s="194" t="str">
        <f>"OP: Althoug that CGS increased more than sales, but what causes the huge decrese in EBIT, thus, OPM was the large selling and M&amp;G expenses which increased by (" &amp; TEXT('Income Statement'!I8,"00.0%") &amp; ") Thus, the management job is to look into this matter more and find ways to control operating costs. Note that this will consequently affect other profitablity ratios as well"</f>
        <v>OP: Althoug that CGS increased more than sales, but what causes the huge decrese in EBIT, thus, OPM was the large selling and M&amp;G expenses which increased by (37.6%) Thus, the management job is to look into this matter more and find ways to control operating costs. Note that this will consequently affect other profitablity ratios as well</v>
      </c>
      <c r="F24" s="194"/>
      <c r="G24" s="190"/>
    </row>
    <row r="25" spans="1:7" ht="32.25" customHeight="1" x14ac:dyDescent="0.25">
      <c r="A25" s="126" t="s">
        <v>53</v>
      </c>
      <c r="B25" s="134">
        <f>'Income Statement'!B15/'Income Statement'!B5</f>
        <v>1.1485714285714285E-2</v>
      </c>
      <c r="C25" s="134">
        <f>'Income Statement'!C15/'Income Statement'!C5</f>
        <v>2.5629370629370631E-2</v>
      </c>
      <c r="D25" s="135">
        <v>3.5000000000000003E-2</v>
      </c>
      <c r="E25" s="193" t="s">
        <v>95</v>
      </c>
      <c r="F25" s="194"/>
      <c r="G25" s="190"/>
    </row>
    <row r="26" spans="1:7" ht="18.75" customHeight="1" x14ac:dyDescent="0.25">
      <c r="A26" s="126" t="s">
        <v>54</v>
      </c>
      <c r="B26" s="134">
        <f>'Income Statement'!B15/'Balance Sheet'!B13</f>
        <v>2.6787012357644777E-2</v>
      </c>
      <c r="C26" s="134">
        <f>'Income Statement'!C15/'Balance Sheet'!C13</f>
        <v>5.9885620915032682E-2</v>
      </c>
      <c r="D26" s="135">
        <v>9.0999999999999998E-2</v>
      </c>
      <c r="E26" s="193" t="s">
        <v>96</v>
      </c>
      <c r="F26" s="194"/>
      <c r="G26" s="190"/>
    </row>
    <row r="27" spans="1:7" ht="18.75" customHeight="1" x14ac:dyDescent="0.25">
      <c r="A27" s="140" t="s">
        <v>55</v>
      </c>
      <c r="B27" s="141">
        <f>'Income Statement'!B15/'Balance Sheet'!B23</f>
        <v>6.4461769010536629E-2</v>
      </c>
      <c r="C27" s="141">
        <f>'Income Statement'!C15/'Balance Sheet'!C23</f>
        <v>0.13251618035217125</v>
      </c>
      <c r="D27" s="136">
        <f>D26*1/(1-D14)</f>
        <v>0.182</v>
      </c>
      <c r="E27" s="193" t="s">
        <v>88</v>
      </c>
      <c r="F27" s="194"/>
      <c r="G27" s="190"/>
    </row>
    <row r="28" spans="1:7" ht="38.25" customHeight="1" thickBot="1" x14ac:dyDescent="0.3">
      <c r="A28" s="142" t="s">
        <v>56</v>
      </c>
      <c r="B28" s="143">
        <f>'Income Statement'!B15/'Balance Sheet'!B23</f>
        <v>6.4461769010536629E-2</v>
      </c>
      <c r="C28" s="143">
        <f>'Income Statement'!C15/'Balance Sheet'!C23</f>
        <v>0.13251618035217125</v>
      </c>
      <c r="D28" s="144">
        <v>0.182</v>
      </c>
      <c r="E28" s="196" t="s">
        <v>97</v>
      </c>
      <c r="F28" s="196"/>
      <c r="G28" s="191"/>
    </row>
    <row r="29" spans="1:7" ht="15.75" thickBot="1" x14ac:dyDescent="0.3">
      <c r="A29" s="91" t="s">
        <v>75</v>
      </c>
      <c r="B29" s="145"/>
      <c r="C29" s="145"/>
      <c r="D29" s="145"/>
      <c r="E29" s="145"/>
      <c r="F29" s="145"/>
      <c r="G29" s="145"/>
    </row>
    <row r="30" spans="1:7" ht="39.75" customHeight="1" x14ac:dyDescent="0.25">
      <c r="A30" s="126" t="s">
        <v>76</v>
      </c>
      <c r="B30" s="146">
        <f>Analysis!B43/('Income Statement'!B15/Analysis!B42)</f>
        <v>20</v>
      </c>
      <c r="C30" s="146">
        <f>Analysis!C43/('Income Statement'!C15/Analysis!C42)</f>
        <v>20</v>
      </c>
      <c r="D30" s="165">
        <v>15</v>
      </c>
      <c r="E30" s="187" t="s">
        <v>105</v>
      </c>
      <c r="F30" s="187"/>
      <c r="G30" s="187" t="s">
        <v>98</v>
      </c>
    </row>
    <row r="31" spans="1:7" ht="54" customHeight="1" thickBot="1" x14ac:dyDescent="0.3">
      <c r="A31" s="142" t="s">
        <v>77</v>
      </c>
      <c r="B31" s="147">
        <f>B44/'Balance Sheet'!B23</f>
        <v>1.2892353802107324</v>
      </c>
      <c r="C31" s="147">
        <f>C44/'Balance Sheet'!C23</f>
        <v>2.6503236070434251</v>
      </c>
      <c r="D31" s="166">
        <v>1</v>
      </c>
      <c r="E31" s="188"/>
      <c r="F31" s="188"/>
      <c r="G31" s="192"/>
    </row>
    <row r="33" spans="1:7" x14ac:dyDescent="0.25"/>
    <row r="34" spans="1:7" s="121" customFormat="1" x14ac:dyDescent="0.25">
      <c r="A34" s="120" t="s">
        <v>66</v>
      </c>
      <c r="B34" s="148">
        <f>(B25*B12)/(1-B14)</f>
        <v>6.4461769010536615E-2</v>
      </c>
      <c r="C34" s="148">
        <f>(C25*C12)/(1-C14)</f>
        <v>0.13251618035217128</v>
      </c>
      <c r="D34" s="149">
        <v>0.182</v>
      </c>
      <c r="E34" s="122"/>
    </row>
    <row r="35" spans="1:7" x14ac:dyDescent="0.25">
      <c r="B35" s="148"/>
      <c r="C35" s="148"/>
    </row>
    <row r="36" spans="1:7" x14ac:dyDescent="0.25">
      <c r="B36" s="150"/>
      <c r="C36" s="150"/>
    </row>
    <row r="37" spans="1:7" s="121" customFormat="1" x14ac:dyDescent="0.25">
      <c r="A37" s="120" t="s">
        <v>70</v>
      </c>
      <c r="B37" s="151">
        <f>1.2*('Balance Sheet'!B9-'Balance Sheet'!B18)/'Balance Sheet'!B13+1.4*('Balance Sheet'!B22/'Balance Sheet'!B13)+3.3*('Income Statement'!B11/'Balance Sheet'!B13)+0.6*(B44/'Balance Sheet'!B20)+('Income Statement'!B5/'Balance Sheet'!B13)</f>
        <v>3.9181499317630153</v>
      </c>
      <c r="C37" s="151">
        <f>1.2*('Balance Sheet'!C9-'Balance Sheet'!C18)/'Balance Sheet'!C13+1.4*('Balance Sheet'!C22/'Balance Sheet'!C13)+3.3*('Income Statement'!C11/'Balance Sheet'!C13)+0.6*(C44/'Balance Sheet'!C20)+('Income Statement'!C5/'Balance Sheet'!C13)</f>
        <v>4.8366057352926566</v>
      </c>
      <c r="E37" s="193" t="s">
        <v>90</v>
      </c>
      <c r="F37" s="194"/>
      <c r="G37" s="194"/>
    </row>
    <row r="38" spans="1:7" s="121" customFormat="1" x14ac:dyDescent="0.25">
      <c r="A38" s="120" t="s">
        <v>71</v>
      </c>
      <c r="B38" s="152">
        <f>0.717*('Balance Sheet'!B9-'Balance Sheet'!B18)/'Balance Sheet'!B13+0.847*('Balance Sheet'!B22/'Balance Sheet'!B13)+3.107*('Income Statement'!B11/'Balance Sheet'!B13)+0.42*('Balance Sheet'!B23/'Balance Sheet'!B20)+0.998*('Income Statement'!B5/'Balance Sheet'!B13)</f>
        <v>3.3495293335216352</v>
      </c>
      <c r="C38" s="152">
        <f>0.717*('Balance Sheet'!C9-'Balance Sheet'!C18)/'Balance Sheet'!C13+0.847*('Balance Sheet'!C22/'Balance Sheet'!C13)+3.107*('Income Statement'!C11/'Balance Sheet'!C13)+0.42*('Balance Sheet'!C23/'Balance Sheet'!C20)+0.998*('Income Statement'!C5/'Balance Sheet'!C13)</f>
        <v>3.5516390227330388</v>
      </c>
      <c r="E38" s="194"/>
      <c r="F38" s="194"/>
      <c r="G38" s="194"/>
    </row>
    <row r="39" spans="1:7" s="121" customFormat="1" x14ac:dyDescent="0.25">
      <c r="A39" s="120"/>
      <c r="B39" s="120"/>
      <c r="C39" s="120"/>
      <c r="E39" s="122"/>
    </row>
    <row r="40" spans="1:7" s="121" customFormat="1" x14ac:dyDescent="0.25">
      <c r="A40" s="120"/>
      <c r="B40" s="120"/>
      <c r="C40" s="120"/>
      <c r="E40" s="122"/>
    </row>
    <row r="41" spans="1:7" ht="15.75" thickBot="1" x14ac:dyDescent="0.3">
      <c r="A41" s="153" t="s">
        <v>68</v>
      </c>
      <c r="E41" s="169" t="s">
        <v>99</v>
      </c>
      <c r="F41" s="170"/>
      <c r="G41" s="168"/>
    </row>
    <row r="42" spans="1:7" x14ac:dyDescent="0.25">
      <c r="A42" s="120" t="s">
        <v>67</v>
      </c>
      <c r="B42" s="150">
        <v>100000</v>
      </c>
      <c r="C42" s="150">
        <v>100000</v>
      </c>
      <c r="E42" s="186" t="s">
        <v>103</v>
      </c>
      <c r="F42" s="195"/>
      <c r="G42" s="168"/>
    </row>
    <row r="43" spans="1:7" x14ac:dyDescent="0.25">
      <c r="A43" s="120" t="s">
        <v>69</v>
      </c>
      <c r="B43" s="154">
        <v>8.8439999999999994</v>
      </c>
      <c r="C43" s="154">
        <v>17.592000000000002</v>
      </c>
      <c r="E43" s="171" t="s">
        <v>102</v>
      </c>
      <c r="F43" s="172"/>
      <c r="G43" s="168"/>
    </row>
    <row r="44" spans="1:7" x14ac:dyDescent="0.25">
      <c r="A44" s="155" t="s">
        <v>78</v>
      </c>
      <c r="B44" s="156">
        <f>B42*B43</f>
        <v>884399.99999999988</v>
      </c>
      <c r="C44" s="156">
        <f>C42*C43</f>
        <v>1759200.0000000002</v>
      </c>
      <c r="E44" s="186" t="s">
        <v>104</v>
      </c>
      <c r="F44" s="186"/>
      <c r="G44" s="168"/>
    </row>
    <row r="45" spans="1:7" x14ac:dyDescent="0.25">
      <c r="E45" s="186" t="s">
        <v>100</v>
      </c>
      <c r="F45" s="186"/>
    </row>
    <row r="46" spans="1:7" x14ac:dyDescent="0.25">
      <c r="E46" s="186" t="s">
        <v>101</v>
      </c>
      <c r="F46" s="186"/>
    </row>
  </sheetData>
  <mergeCells count="24">
    <mergeCell ref="G5:G6"/>
    <mergeCell ref="G8:G12"/>
    <mergeCell ref="G14:G18"/>
    <mergeCell ref="G20:G21"/>
    <mergeCell ref="E5:F6"/>
    <mergeCell ref="E8:F8"/>
    <mergeCell ref="E9:F10"/>
    <mergeCell ref="E11:F12"/>
    <mergeCell ref="E14:F18"/>
    <mergeCell ref="E20:F21"/>
    <mergeCell ref="E46:F46"/>
    <mergeCell ref="E30:F31"/>
    <mergeCell ref="G23:G28"/>
    <mergeCell ref="G30:G31"/>
    <mergeCell ref="E37:G38"/>
    <mergeCell ref="E45:F45"/>
    <mergeCell ref="E44:F44"/>
    <mergeCell ref="E42:F42"/>
    <mergeCell ref="E28:F28"/>
    <mergeCell ref="E23:F23"/>
    <mergeCell ref="E24:F24"/>
    <mergeCell ref="E25:F25"/>
    <mergeCell ref="E26:F26"/>
    <mergeCell ref="E27:F27"/>
  </mergeCells>
  <printOptions gridLines="1" gridLinesSet="0"/>
  <pageMargins left="0.25" right="0.2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topLeftCell="B1" workbookViewId="0">
      <pane ySplit="3" topLeftCell="A4" activePane="bottomLeft" state="frozen"/>
      <selection pane="bottomLeft" activeCell="N18" sqref="N18"/>
    </sheetView>
  </sheetViews>
  <sheetFormatPr defaultRowHeight="15" x14ac:dyDescent="0.25"/>
  <cols>
    <col min="1" max="1" width="24.28515625" bestFit="1" customWidth="1"/>
    <col min="2" max="2" width="23.28515625" bestFit="1" customWidth="1"/>
    <col min="3" max="3" width="13.28515625" bestFit="1" customWidth="1"/>
    <col min="4" max="4" width="10" style="78" customWidth="1"/>
    <col min="5" max="5" width="24.140625" customWidth="1"/>
    <col min="6" max="6" width="11.7109375" bestFit="1" customWidth="1"/>
    <col min="7" max="7" width="13.28515625" bestFit="1" customWidth="1"/>
    <col min="8" max="8" width="10" bestFit="1" customWidth="1"/>
    <col min="9" max="9" width="11.7109375" style="57" bestFit="1" customWidth="1"/>
    <col min="10" max="10" width="11.85546875" style="57" customWidth="1"/>
    <col min="11" max="11" width="15.85546875" style="57" customWidth="1"/>
  </cols>
  <sheetData>
    <row r="1" spans="1:11" x14ac:dyDescent="0.25">
      <c r="A1" s="46" t="s">
        <v>0</v>
      </c>
      <c r="B1" s="46"/>
      <c r="C1" s="46"/>
      <c r="D1" s="70"/>
      <c r="E1" s="46" t="str">
        <f>'Income Statement'!A1</f>
        <v>Elvis Products International</v>
      </c>
      <c r="F1" s="46"/>
      <c r="G1" s="46"/>
    </row>
    <row r="2" spans="1:11" x14ac:dyDescent="0.25">
      <c r="A2" s="46" t="s">
        <v>74</v>
      </c>
      <c r="B2" s="46"/>
      <c r="C2" s="46"/>
      <c r="D2" s="70"/>
      <c r="E2" s="46" t="str">
        <f>"Ratio Analysis for "&amp;TEXT(G3,"####")&amp;" and "&amp;TEXT(F3,"####")</f>
        <v>Ratio Analysis for 2008 and 2009</v>
      </c>
      <c r="F2" s="46"/>
      <c r="G2" s="46"/>
    </row>
    <row r="3" spans="1:11" s="22" customFormat="1" ht="65.25" customHeight="1" thickBot="1" x14ac:dyDescent="0.3">
      <c r="A3" s="52" t="s">
        <v>33</v>
      </c>
      <c r="B3" s="53">
        <f>'Income Statement'!B4</f>
        <v>2009</v>
      </c>
      <c r="C3" s="53">
        <f>'Income Statement'!C4</f>
        <v>2008</v>
      </c>
      <c r="D3" s="71"/>
      <c r="E3" s="93" t="s">
        <v>33</v>
      </c>
      <c r="F3" s="92">
        <f>'Income Statement'!B4</f>
        <v>2009</v>
      </c>
      <c r="G3" s="92">
        <f>'Income Statement'!C4</f>
        <v>2008</v>
      </c>
      <c r="H3" s="94" t="str">
        <f>"Industry "&amp;TEXT(F3,"#000")</f>
        <v>Industry 2009</v>
      </c>
      <c r="I3" s="92" t="s">
        <v>79</v>
      </c>
      <c r="J3" s="92" t="s">
        <v>80</v>
      </c>
      <c r="K3" s="92" t="s">
        <v>81</v>
      </c>
    </row>
    <row r="4" spans="1:11" ht="15.75" thickBot="1" x14ac:dyDescent="0.3">
      <c r="A4" s="17" t="s">
        <v>34</v>
      </c>
      <c r="B4" s="17"/>
      <c r="C4" s="17"/>
      <c r="D4" s="72"/>
      <c r="E4" s="91" t="s">
        <v>34</v>
      </c>
      <c r="F4" s="17"/>
      <c r="G4" s="17"/>
      <c r="H4" s="91"/>
      <c r="I4" s="91"/>
      <c r="J4" s="91"/>
      <c r="K4" s="91"/>
    </row>
    <row r="5" spans="1:11" x14ac:dyDescent="0.25">
      <c r="A5" s="7" t="s">
        <v>72</v>
      </c>
      <c r="B5" s="59">
        <f>'MV Ratios'!B5</f>
        <v>0</v>
      </c>
      <c r="C5" s="59">
        <f>'MV Ratios'!C5</f>
        <v>0</v>
      </c>
      <c r="D5" s="73"/>
      <c r="E5" s="7" t="s">
        <v>72</v>
      </c>
      <c r="F5" s="26">
        <f>'Balance Sheet'!B9/'Balance Sheet'!B18</f>
        <v>2.3880044427989633</v>
      </c>
      <c r="G5" s="27">
        <f>'Balance Sheet'!C9/'Balance Sheet'!C18</f>
        <v>2.3338870431893688</v>
      </c>
      <c r="H5" s="83">
        <v>2.7</v>
      </c>
      <c r="I5" s="57" t="str">
        <f>IF(F5&gt;=G5,"Good","Bad")</f>
        <v>Good</v>
      </c>
      <c r="J5" s="57" t="str">
        <f>IF(AND(F5/G5&gt;=1,F5/H5&gt;=1),"Good","Bad")</f>
        <v>Bad</v>
      </c>
      <c r="K5" s="57" t="str">
        <f>IF(AND(F5&gt;=G5,F5&gt;=H5),"Good",IF(OR(F5&gt;=G5,F5&gt;=H5),"Ok","Bad"))</f>
        <v>Ok</v>
      </c>
    </row>
    <row r="6" spans="1:11" ht="15.75" thickBot="1" x14ac:dyDescent="0.3">
      <c r="A6" s="12" t="s">
        <v>73</v>
      </c>
      <c r="B6" s="60">
        <f>'MV Ratios'!B6</f>
        <v>0</v>
      </c>
      <c r="C6" s="59">
        <f>'MV Ratios'!C6</f>
        <v>0</v>
      </c>
      <c r="D6" s="73"/>
      <c r="E6" s="12" t="s">
        <v>73</v>
      </c>
      <c r="F6" s="27">
        <f>('Balance Sheet'!B9-'Balance Sheet'!B8)/'Balance Sheet'!B18</f>
        <v>0.84042947056645689</v>
      </c>
      <c r="G6" s="27">
        <f>('Balance Sheet'!C9-'Balance Sheet'!C8)/'Balance Sheet'!C18</f>
        <v>0.84883720930232553</v>
      </c>
      <c r="H6" s="83">
        <v>1</v>
      </c>
      <c r="I6" s="57" t="str">
        <f t="shared" ref="I6:I28" si="0">IF(F6&gt;=G6,"Good","Bad")</f>
        <v>Bad</v>
      </c>
      <c r="J6" s="57" t="str">
        <f t="shared" ref="J6:J28" si="1">IF(AND(F6/G6&gt;=1,F6/H6&gt;=1),"Good","Bad")</f>
        <v>Bad</v>
      </c>
      <c r="K6" s="57" t="str">
        <f>IF(AND(F6&gt;=G6,F6&gt;=H6),"Good",IF(OR(F6&gt;=G6,F6&gt;=H6),"Ok","Bad"))</f>
        <v>Bad</v>
      </c>
    </row>
    <row r="7" spans="1:11" ht="15.75" thickBot="1" x14ac:dyDescent="0.3">
      <c r="A7" s="17" t="s">
        <v>35</v>
      </c>
      <c r="B7" s="61"/>
      <c r="C7" s="61"/>
      <c r="D7" s="74"/>
      <c r="E7" s="17" t="s">
        <v>35</v>
      </c>
      <c r="F7" s="17"/>
      <c r="G7" s="17"/>
      <c r="H7" s="17"/>
      <c r="I7" s="17"/>
      <c r="J7" s="17"/>
      <c r="K7" s="17"/>
    </row>
    <row r="8" spans="1:11" x14ac:dyDescent="0.25">
      <c r="A8" s="7" t="s">
        <v>36</v>
      </c>
      <c r="B8" s="59">
        <f>'MV Ratios'!B8</f>
        <v>0</v>
      </c>
      <c r="C8" s="59">
        <f>'MV Ratios'!C8</f>
        <v>0</v>
      </c>
      <c r="D8" s="73"/>
      <c r="E8" s="7" t="s">
        <v>36</v>
      </c>
      <c r="F8" s="26">
        <f>'Income Statement'!B6/'Balance Sheet'!B8</f>
        <v>3.8875598086124401</v>
      </c>
      <c r="G8" s="26">
        <f>'Income Statement'!C6/'Balance Sheet'!C8</f>
        <v>4.0044742729306488</v>
      </c>
      <c r="H8" s="83">
        <v>7</v>
      </c>
      <c r="I8" s="57" t="str">
        <f t="shared" si="0"/>
        <v>Bad</v>
      </c>
      <c r="J8" s="57" t="str">
        <f t="shared" si="1"/>
        <v>Bad</v>
      </c>
      <c r="K8" s="57" t="str">
        <f t="shared" ref="K8:K28" si="2">IF(AND(F8&gt;=G8,F8&gt;=H8),"Good",IF(OR(F8&gt;=G8,F8&gt;=H8),"Ok","Bad"))</f>
        <v>Bad</v>
      </c>
    </row>
    <row r="9" spans="1:11" x14ac:dyDescent="0.25">
      <c r="A9" s="7" t="s">
        <v>37</v>
      </c>
      <c r="B9" s="59">
        <f>'MV Ratios'!B9</f>
        <v>0</v>
      </c>
      <c r="C9" s="59">
        <f>'MV Ratios'!C9</f>
        <v>0</v>
      </c>
      <c r="D9" s="73"/>
      <c r="E9" s="7" t="s">
        <v>37</v>
      </c>
      <c r="F9" s="26">
        <f>'Income Statement'!B5/'Balance Sheet'!B7</f>
        <v>9.5771144278606961</v>
      </c>
      <c r="G9" s="26">
        <f>'Income Statement'!C5/'Balance Sheet'!C7</f>
        <v>9.7722095671981783</v>
      </c>
      <c r="H9" s="83">
        <v>10.7</v>
      </c>
      <c r="I9" s="57" t="str">
        <f t="shared" si="0"/>
        <v>Bad</v>
      </c>
      <c r="J9" s="57" t="str">
        <f t="shared" si="1"/>
        <v>Bad</v>
      </c>
      <c r="K9" s="57" t="str">
        <f t="shared" si="2"/>
        <v>Bad</v>
      </c>
    </row>
    <row r="10" spans="1:11" x14ac:dyDescent="0.25">
      <c r="A10" s="56" t="s">
        <v>38</v>
      </c>
      <c r="B10" s="62">
        <f>'MV Ratios'!B10</f>
        <v>0</v>
      </c>
      <c r="C10" s="62">
        <f>'MV Ratios'!C10</f>
        <v>0</v>
      </c>
      <c r="D10" s="75"/>
      <c r="E10" s="56" t="s">
        <v>38</v>
      </c>
      <c r="F10" s="32">
        <f>'Balance Sheet'!B7/('Income Statement'!B5/360)</f>
        <v>37.589610389610385</v>
      </c>
      <c r="G10" s="32">
        <f>'Balance Sheet'!C7/('Income Statement'!C5/360)</f>
        <v>36.83916083916084</v>
      </c>
      <c r="H10" s="84">
        <f>360/H9</f>
        <v>33.644859813084118</v>
      </c>
      <c r="I10" s="57" t="str">
        <f>IF(F10&lt;=G10,"Good","Bad")</f>
        <v>Bad</v>
      </c>
      <c r="J10" s="57" t="str">
        <f>IF(AND(F10/G10&lt;=1,F10/H10&lt;=1),"Good","Bad")</f>
        <v>Bad</v>
      </c>
      <c r="K10" s="57" t="str">
        <f>IF(AND(F10&lt;=G10,F10&lt;=H10),"Good",IF(OR(F10&lt;=G10,F10&lt;=H10),"Ok","Bad"))</f>
        <v>Bad</v>
      </c>
    </row>
    <row r="11" spans="1:11" x14ac:dyDescent="0.25">
      <c r="A11" s="7" t="s">
        <v>39</v>
      </c>
      <c r="B11" s="59">
        <f>'MV Ratios'!B11</f>
        <v>0</v>
      </c>
      <c r="C11" s="59">
        <f>'MV Ratios'!C11</f>
        <v>0</v>
      </c>
      <c r="D11" s="73"/>
      <c r="E11" s="7" t="s">
        <v>39</v>
      </c>
      <c r="F11" s="26">
        <f>'Income Statement'!B5/'Balance Sheet'!B12</f>
        <v>10.670731707317072</v>
      </c>
      <c r="G11" s="26">
        <f>'Income Statement'!C5/'Balance Sheet'!C12</f>
        <v>9.9535962877030162</v>
      </c>
      <c r="H11" s="83">
        <v>11.2</v>
      </c>
      <c r="I11" s="57" t="str">
        <f t="shared" si="0"/>
        <v>Good</v>
      </c>
      <c r="J11" s="57" t="str">
        <f t="shared" si="1"/>
        <v>Bad</v>
      </c>
      <c r="K11" s="57" t="str">
        <f t="shared" si="2"/>
        <v>Ok</v>
      </c>
    </row>
    <row r="12" spans="1:11" ht="15.75" thickBot="1" x14ac:dyDescent="0.3">
      <c r="A12" s="7" t="s">
        <v>40</v>
      </c>
      <c r="B12" s="59">
        <f>'MV Ratios'!B12</f>
        <v>0</v>
      </c>
      <c r="C12" s="59">
        <f>'MV Ratios'!C12</f>
        <v>0</v>
      </c>
      <c r="D12" s="73"/>
      <c r="E12" s="7" t="s">
        <v>40</v>
      </c>
      <c r="F12" s="26">
        <f>'Income Statement'!B5/'Balance Sheet'!B13</f>
        <v>2.3322025684516596</v>
      </c>
      <c r="G12" s="26">
        <f>'Income Statement'!C5/'Balance Sheet'!C13</f>
        <v>2.3366013071895426</v>
      </c>
      <c r="H12" s="83">
        <v>2.6</v>
      </c>
      <c r="I12" s="57" t="str">
        <f t="shared" si="0"/>
        <v>Bad</v>
      </c>
      <c r="J12" s="57" t="str">
        <f t="shared" si="1"/>
        <v>Bad</v>
      </c>
      <c r="K12" s="57" t="str">
        <f t="shared" si="2"/>
        <v>Bad</v>
      </c>
    </row>
    <row r="13" spans="1:11" ht="15.75" thickBot="1" x14ac:dyDescent="0.3">
      <c r="A13" s="17" t="s">
        <v>41</v>
      </c>
      <c r="B13" s="61"/>
      <c r="C13" s="61"/>
      <c r="D13" s="74"/>
      <c r="E13" s="17" t="s">
        <v>41</v>
      </c>
      <c r="F13" s="17"/>
      <c r="G13" s="17"/>
      <c r="H13" s="17"/>
      <c r="I13" s="17"/>
      <c r="J13" s="17"/>
      <c r="K13" s="17"/>
    </row>
    <row r="14" spans="1:11" x14ac:dyDescent="0.25">
      <c r="A14" s="56" t="s">
        <v>42</v>
      </c>
      <c r="B14" s="63">
        <f>'MV Ratios'!B14</f>
        <v>0</v>
      </c>
      <c r="C14" s="63">
        <f>'MV Ratios'!C14</f>
        <v>0</v>
      </c>
      <c r="D14" s="69"/>
      <c r="E14" s="56" t="s">
        <v>42</v>
      </c>
      <c r="F14" s="8">
        <f>'Balance Sheet'!B20/'Balance Sheet'!B13</f>
        <v>0.58445117518778777</v>
      </c>
      <c r="G14" s="8">
        <f>'Balance Sheet'!C20/'Balance Sheet'!C13</f>
        <v>0.54808823529411765</v>
      </c>
      <c r="H14" s="85">
        <v>0.5</v>
      </c>
      <c r="I14" s="57" t="str">
        <f>IF(F14&lt;=G14,"Good","Bad")</f>
        <v>Bad</v>
      </c>
      <c r="J14" s="57" t="str">
        <f>IF(AND(F14/G14&lt;=1,F14/H14&lt;=1),"Good","Bad")</f>
        <v>Bad</v>
      </c>
      <c r="K14" s="57" t="str">
        <f>IF(AND(F14&lt;=G14,F14&lt;=H14),"Good",IF(OR(F14&lt;=G14,F14&lt;=H14),"Ok","Bad"))</f>
        <v>Bad</v>
      </c>
    </row>
    <row r="15" spans="1:11" x14ac:dyDescent="0.25">
      <c r="A15" s="56" t="s">
        <v>43</v>
      </c>
      <c r="B15" s="63">
        <f>'MV Ratios'!B15</f>
        <v>0</v>
      </c>
      <c r="C15" s="63">
        <f>'MV Ratios'!C15</f>
        <v>0</v>
      </c>
      <c r="D15" s="69"/>
      <c r="E15" s="56" t="s">
        <v>43</v>
      </c>
      <c r="F15" s="8">
        <f>'Balance Sheet'!B19/'Balance Sheet'!B13</f>
        <v>0.25721589532347955</v>
      </c>
      <c r="G15" s="8">
        <f>'Balance Sheet'!C19/'Balance Sheet'!C13</f>
        <v>0.22020152505446622</v>
      </c>
      <c r="H15" s="86">
        <v>0.2</v>
      </c>
      <c r="I15" s="57" t="str">
        <f t="shared" ref="I15:I18" si="3">IF(F15&lt;=G15,"Good","Bad")</f>
        <v>Bad</v>
      </c>
      <c r="J15" s="57" t="str">
        <f t="shared" ref="J15:J18" si="4">IF(AND(F15/G15&lt;=1,F15/H15&lt;=1),"Good","Bad")</f>
        <v>Bad</v>
      </c>
      <c r="K15" s="57" t="str">
        <f t="shared" ref="K15:K18" si="5">IF(AND(F15&lt;=G15,F15&lt;=H15),"Good",IF(OR(F15&lt;=G15,F15&lt;=H15),"Ok","Bad"))</f>
        <v>Bad</v>
      </c>
    </row>
    <row r="16" spans="1:11" x14ac:dyDescent="0.25">
      <c r="A16" s="56" t="s">
        <v>44</v>
      </c>
      <c r="B16" s="63">
        <f>'MV Ratios'!B16</f>
        <v>0</v>
      </c>
      <c r="C16" s="63">
        <f>'MV Ratios'!C16</f>
        <v>0</v>
      </c>
      <c r="D16" s="69"/>
      <c r="E16" s="56" t="s">
        <v>44</v>
      </c>
      <c r="F16" s="8">
        <f>'Balance Sheet'!B19/('Balance Sheet'!B23+'Balance Sheet'!B19)</f>
        <v>0.38232667026832345</v>
      </c>
      <c r="G16" s="8">
        <f>'Balance Sheet'!C19/('Balance Sheet'!C23+'Balance Sheet'!C19)</f>
        <v>0.32762560777957861</v>
      </c>
      <c r="H16" s="86">
        <f>1/(1+1/H18)</f>
        <v>0.2857142857142857</v>
      </c>
      <c r="I16" s="57" t="str">
        <f t="shared" si="3"/>
        <v>Bad</v>
      </c>
      <c r="J16" s="57" t="str">
        <f t="shared" si="4"/>
        <v>Bad</v>
      </c>
      <c r="K16" s="57" t="str">
        <f t="shared" si="5"/>
        <v>Bad</v>
      </c>
    </row>
    <row r="17" spans="1:11" x14ac:dyDescent="0.25">
      <c r="A17" s="56" t="s">
        <v>45</v>
      </c>
      <c r="B17" s="64">
        <f>'MV Ratios'!B17</f>
        <v>0</v>
      </c>
      <c r="C17" s="64">
        <f>'MV Ratios'!C17</f>
        <v>0</v>
      </c>
      <c r="D17" s="76"/>
      <c r="E17" s="56" t="s">
        <v>45</v>
      </c>
      <c r="F17" s="28">
        <f>'Balance Sheet'!B20/'Balance Sheet'!B23</f>
        <v>1.4064560896108971</v>
      </c>
      <c r="G17" s="28">
        <f>'Balance Sheet'!C20/'Balance Sheet'!C23</f>
        <v>1.2128213472177025</v>
      </c>
      <c r="H17" s="87">
        <f>H14/(1-H14)</f>
        <v>1</v>
      </c>
      <c r="I17" s="57" t="str">
        <f t="shared" si="3"/>
        <v>Bad</v>
      </c>
      <c r="J17" s="57" t="str">
        <f t="shared" si="4"/>
        <v>Bad</v>
      </c>
      <c r="K17" s="57" t="str">
        <f t="shared" si="5"/>
        <v>Bad</v>
      </c>
    </row>
    <row r="18" spans="1:11" ht="15.75" thickBot="1" x14ac:dyDescent="0.3">
      <c r="A18" s="56" t="s">
        <v>46</v>
      </c>
      <c r="B18" s="65">
        <f>'MV Ratios'!B18</f>
        <v>0</v>
      </c>
      <c r="C18" s="65">
        <f>'MV Ratios'!C18</f>
        <v>0</v>
      </c>
      <c r="D18" s="77"/>
      <c r="E18" s="56" t="s">
        <v>46</v>
      </c>
      <c r="F18" s="9">
        <f>'Balance Sheet'!B19/'Balance Sheet'!B23</f>
        <v>0.61897875764590637</v>
      </c>
      <c r="G18" s="9">
        <f>'Balance Sheet'!C19/'Balance Sheet'!C23</f>
        <v>0.48726663533041664</v>
      </c>
      <c r="H18" s="86">
        <f>H15/(1-H14)</f>
        <v>0.4</v>
      </c>
      <c r="I18" s="57" t="str">
        <f t="shared" si="3"/>
        <v>Bad</v>
      </c>
      <c r="J18" s="57" t="str">
        <f t="shared" si="4"/>
        <v>Bad</v>
      </c>
      <c r="K18" s="57" t="str">
        <f t="shared" si="5"/>
        <v>Bad</v>
      </c>
    </row>
    <row r="19" spans="1:11" ht="15.75" thickBot="1" x14ac:dyDescent="0.3">
      <c r="A19" s="17" t="s">
        <v>47</v>
      </c>
      <c r="B19" s="61"/>
      <c r="C19" s="61"/>
      <c r="D19" s="74"/>
      <c r="E19" s="17" t="s">
        <v>47</v>
      </c>
      <c r="F19" s="17"/>
      <c r="G19" s="17"/>
      <c r="H19" s="17"/>
      <c r="I19" s="17"/>
      <c r="J19" s="17"/>
      <c r="K19" s="17"/>
    </row>
    <row r="20" spans="1:11" x14ac:dyDescent="0.25">
      <c r="A20" s="7" t="s">
        <v>48</v>
      </c>
      <c r="B20" s="59">
        <f>'MV Ratios'!B20</f>
        <v>0</v>
      </c>
      <c r="C20" s="59">
        <f>'MV Ratios'!C20</f>
        <v>0</v>
      </c>
      <c r="D20" s="73"/>
      <c r="E20" s="7" t="s">
        <v>48</v>
      </c>
      <c r="F20" s="26">
        <f>'Income Statement'!B11/'Income Statement'!B12</f>
        <v>1.9697368421052632</v>
      </c>
      <c r="G20" s="26">
        <f>'Income Statement'!C11/'Income Statement'!C12</f>
        <v>3.3456000000000001</v>
      </c>
      <c r="H20" s="83">
        <v>2.5</v>
      </c>
      <c r="I20" s="57" t="str">
        <f t="shared" si="0"/>
        <v>Bad</v>
      </c>
      <c r="J20" s="57" t="str">
        <f t="shared" si="1"/>
        <v>Bad</v>
      </c>
      <c r="K20" s="57" t="str">
        <f t="shared" si="2"/>
        <v>Bad</v>
      </c>
    </row>
    <row r="21" spans="1:11" ht="15.75" thickBot="1" x14ac:dyDescent="0.3">
      <c r="A21" s="7" t="s">
        <v>49</v>
      </c>
      <c r="B21" s="59">
        <f>'MV Ratios'!B21</f>
        <v>0</v>
      </c>
      <c r="C21" s="59">
        <f>'MV Ratios'!C21</f>
        <v>0</v>
      </c>
      <c r="D21" s="73"/>
      <c r="E21" s="7" t="s">
        <v>49</v>
      </c>
      <c r="F21" s="26">
        <f>('Income Statement'!B11+'Income Statement'!B10)/'Income Statement'!B12</f>
        <v>2.232894736842105</v>
      </c>
      <c r="G21" s="26">
        <f>('Income Statement'!C11+'Income Statement'!C10)/'Income Statement'!C12</f>
        <v>3.6480000000000001</v>
      </c>
      <c r="H21" s="83">
        <v>2.8</v>
      </c>
      <c r="I21" s="57" t="str">
        <f t="shared" si="0"/>
        <v>Bad</v>
      </c>
      <c r="J21" s="57" t="str">
        <f t="shared" si="1"/>
        <v>Bad</v>
      </c>
      <c r="K21" s="57" t="str">
        <f t="shared" si="2"/>
        <v>Bad</v>
      </c>
    </row>
    <row r="22" spans="1:11" ht="15.75" thickBot="1" x14ac:dyDescent="0.3">
      <c r="A22" s="17" t="s">
        <v>50</v>
      </c>
      <c r="B22" s="61"/>
      <c r="C22" s="61"/>
      <c r="D22" s="74"/>
      <c r="E22" s="17" t="s">
        <v>50</v>
      </c>
      <c r="F22" s="17"/>
      <c r="G22" s="17"/>
      <c r="H22" s="17"/>
      <c r="I22" s="17"/>
      <c r="J22" s="17"/>
      <c r="K22" s="17"/>
    </row>
    <row r="23" spans="1:11" x14ac:dyDescent="0.25">
      <c r="A23" s="7" t="s">
        <v>51</v>
      </c>
      <c r="B23" s="65">
        <f>'MV Ratios'!B23</f>
        <v>0</v>
      </c>
      <c r="C23" s="65">
        <f>'MV Ratios'!C23</f>
        <v>0</v>
      </c>
      <c r="D23" s="77"/>
      <c r="E23" s="7" t="s">
        <v>51</v>
      </c>
      <c r="F23" s="9">
        <f>'Income Statement'!B7/'Income Statement'!B5</f>
        <v>0.15584415584415584</v>
      </c>
      <c r="G23" s="9">
        <f>'Income Statement'!C7/'Income Statement'!C5</f>
        <v>0.1655011655011655</v>
      </c>
      <c r="H23" s="86">
        <v>0.17499999999999999</v>
      </c>
      <c r="I23" s="57" t="str">
        <f t="shared" si="0"/>
        <v>Bad</v>
      </c>
      <c r="J23" s="57" t="str">
        <f t="shared" si="1"/>
        <v>Bad</v>
      </c>
      <c r="K23" s="57" t="str">
        <f t="shared" si="2"/>
        <v>Bad</v>
      </c>
    </row>
    <row r="24" spans="1:11" x14ac:dyDescent="0.25">
      <c r="A24" s="7" t="s">
        <v>52</v>
      </c>
      <c r="B24" s="65">
        <f>'MV Ratios'!B24</f>
        <v>0</v>
      </c>
      <c r="C24" s="65">
        <f>'MV Ratios'!C24</f>
        <v>0</v>
      </c>
      <c r="D24" s="77"/>
      <c r="E24" s="7" t="s">
        <v>52</v>
      </c>
      <c r="F24" s="9">
        <f>'Income Statement'!B11/'Income Statement'!B5</f>
        <v>3.8883116883116881E-2</v>
      </c>
      <c r="G24" s="9">
        <f>'Income Statement'!C11/'Income Statement'!C5</f>
        <v>6.0926573426573427E-2</v>
      </c>
      <c r="H24" s="86">
        <v>6.25E-2</v>
      </c>
      <c r="I24" s="57" t="str">
        <f t="shared" si="0"/>
        <v>Bad</v>
      </c>
      <c r="J24" s="57" t="str">
        <f t="shared" si="1"/>
        <v>Bad</v>
      </c>
      <c r="K24" s="57" t="str">
        <f t="shared" si="2"/>
        <v>Bad</v>
      </c>
    </row>
    <row r="25" spans="1:11" x14ac:dyDescent="0.25">
      <c r="A25" s="7" t="s">
        <v>53</v>
      </c>
      <c r="B25" s="63">
        <f>'MV Ratios'!B25</f>
        <v>0</v>
      </c>
      <c r="C25" s="63">
        <f>'MV Ratios'!C25</f>
        <v>0</v>
      </c>
      <c r="D25" s="69"/>
      <c r="E25" s="7" t="s">
        <v>53</v>
      </c>
      <c r="F25" s="8">
        <f>'Income Statement'!B15/'Income Statement'!B5</f>
        <v>1.1485714285714285E-2</v>
      </c>
      <c r="G25" s="8">
        <f>'Income Statement'!C15/'Income Statement'!C5</f>
        <v>2.5629370629370631E-2</v>
      </c>
      <c r="H25" s="85">
        <v>3.5000000000000003E-2</v>
      </c>
      <c r="I25" s="57" t="str">
        <f t="shared" si="0"/>
        <v>Bad</v>
      </c>
      <c r="J25" s="57" t="str">
        <f t="shared" si="1"/>
        <v>Bad</v>
      </c>
      <c r="K25" s="57" t="str">
        <f t="shared" si="2"/>
        <v>Bad</v>
      </c>
    </row>
    <row r="26" spans="1:11" x14ac:dyDescent="0.25">
      <c r="A26" s="7" t="s">
        <v>54</v>
      </c>
      <c r="B26" s="63">
        <f>'MV Ratios'!B26</f>
        <v>0</v>
      </c>
      <c r="C26" s="63">
        <f>'MV Ratios'!C26</f>
        <v>0</v>
      </c>
      <c r="D26" s="69"/>
      <c r="E26" s="7" t="s">
        <v>54</v>
      </c>
      <c r="F26" s="8">
        <f>'Income Statement'!B15/'Balance Sheet'!B13</f>
        <v>2.6787012357644777E-2</v>
      </c>
      <c r="G26" s="8">
        <f>'Income Statement'!C15/'Balance Sheet'!C13</f>
        <v>5.9885620915032682E-2</v>
      </c>
      <c r="H26" s="85">
        <v>9.0999999999999998E-2</v>
      </c>
      <c r="I26" s="57" t="str">
        <f t="shared" si="0"/>
        <v>Bad</v>
      </c>
      <c r="J26" s="57" t="str">
        <f t="shared" si="1"/>
        <v>Bad</v>
      </c>
      <c r="K26" s="57" t="str">
        <f t="shared" si="2"/>
        <v>Bad</v>
      </c>
    </row>
    <row r="27" spans="1:11" x14ac:dyDescent="0.25">
      <c r="A27" s="10" t="s">
        <v>55</v>
      </c>
      <c r="B27" s="66">
        <f>'MV Ratios'!B27</f>
        <v>0</v>
      </c>
      <c r="C27" s="66">
        <f>'MV Ratios'!C27</f>
        <v>0</v>
      </c>
      <c r="D27" s="69"/>
      <c r="E27" s="10" t="s">
        <v>55</v>
      </c>
      <c r="F27" s="20">
        <f>'Income Statement'!B15/'Balance Sheet'!B23</f>
        <v>6.4461769010536629E-2</v>
      </c>
      <c r="G27" s="20">
        <f>'Income Statement'!C15/'Balance Sheet'!C23</f>
        <v>0.13251618035217125</v>
      </c>
      <c r="H27" s="86">
        <f>H26*1/(1-H14)</f>
        <v>0.182</v>
      </c>
      <c r="I27" s="57" t="str">
        <f t="shared" si="0"/>
        <v>Bad</v>
      </c>
      <c r="J27" s="57" t="str">
        <f t="shared" si="1"/>
        <v>Bad</v>
      </c>
      <c r="K27" s="57" t="str">
        <f t="shared" si="2"/>
        <v>Bad</v>
      </c>
    </row>
    <row r="28" spans="1:11" ht="15.75" thickBot="1" x14ac:dyDescent="0.3">
      <c r="A28" s="19" t="s">
        <v>56</v>
      </c>
      <c r="B28" s="67">
        <f>'MV Ratios'!B28</f>
        <v>0</v>
      </c>
      <c r="C28" s="67">
        <f>'MV Ratios'!C28</f>
        <v>0</v>
      </c>
      <c r="D28" s="69"/>
      <c r="E28" s="19" t="s">
        <v>56</v>
      </c>
      <c r="F28" s="21">
        <f>'Income Statement'!B15/'Balance Sheet'!B23</f>
        <v>6.4461769010536629E-2</v>
      </c>
      <c r="G28" s="21">
        <f>'Income Statement'!C15/'Balance Sheet'!C23</f>
        <v>0.13251618035217125</v>
      </c>
      <c r="H28" s="88">
        <v>0.182</v>
      </c>
      <c r="I28" s="90" t="str">
        <f t="shared" si="0"/>
        <v>Bad</v>
      </c>
      <c r="J28" s="90" t="str">
        <f t="shared" si="1"/>
        <v>Bad</v>
      </c>
      <c r="K28" s="90" t="str">
        <f t="shared" si="2"/>
        <v>Bad</v>
      </c>
    </row>
    <row r="31" spans="1:11" x14ac:dyDescent="0.25">
      <c r="A31" t="s">
        <v>66</v>
      </c>
      <c r="B31" s="14">
        <f>'Du Pont ROE and Z score'!B31</f>
        <v>0</v>
      </c>
      <c r="C31" s="14">
        <f>'Du Pont ROE and Z score'!C31</f>
        <v>0</v>
      </c>
      <c r="E31" t="s">
        <v>66</v>
      </c>
      <c r="F31" s="14">
        <f>(F25*F12)/(1-F14)</f>
        <v>6.4461769010536615E-2</v>
      </c>
      <c r="G31" s="14">
        <f>(G25*G12)/(1-G14)</f>
        <v>0.13251618035217128</v>
      </c>
      <c r="H31" s="89">
        <v>0.182</v>
      </c>
    </row>
    <row r="32" spans="1:11" x14ac:dyDescent="0.25">
      <c r="B32" s="14"/>
      <c r="C32" s="14"/>
      <c r="D32" s="79"/>
      <c r="F32" s="14"/>
      <c r="G32" s="14"/>
    </row>
    <row r="33" spans="1:9" x14ac:dyDescent="0.25">
      <c r="B33" s="36"/>
      <c r="C33" s="36"/>
      <c r="D33" s="80"/>
      <c r="F33" s="36"/>
      <c r="G33" s="36"/>
    </row>
    <row r="34" spans="1:9" s="57" customFormat="1" x14ac:dyDescent="0.25">
      <c r="A34" t="s">
        <v>70</v>
      </c>
      <c r="B34" s="37">
        <f>'Du Pont ROE and Z score'!B34</f>
        <v>0</v>
      </c>
      <c r="C34" s="37">
        <f>'Du Pont ROE and Z score'!C34</f>
        <v>0</v>
      </c>
      <c r="D34" s="78"/>
      <c r="E34" t="s">
        <v>70</v>
      </c>
      <c r="F34" s="37">
        <f>1.2*('Balance Sheet'!B9-'Balance Sheet'!B18)/'Balance Sheet'!B13+1.4*('Balance Sheet'!B22/'Balance Sheet'!B13)+3.3*('Income Statement'!B11/'Balance Sheet'!B13)+0.6*(F41/'Balance Sheet'!B20)+('Income Statement'!B5/'Balance Sheet'!B13)</f>
        <v>3.9181499317630153</v>
      </c>
      <c r="G34" s="37">
        <f>1.2*('Balance Sheet'!C9-'Balance Sheet'!C18)/'Balance Sheet'!C13+1.4*('Balance Sheet'!C22/'Balance Sheet'!C13)+3.3*('Income Statement'!C11/'Balance Sheet'!C13)+0.6*(G41/'Balance Sheet'!C20)+('Income Statement'!C5/'Balance Sheet'!C13)</f>
        <v>4.8366057352926566</v>
      </c>
    </row>
    <row r="35" spans="1:9" x14ac:dyDescent="0.25">
      <c r="A35" t="s">
        <v>71</v>
      </c>
      <c r="B35" s="39">
        <f>'Du Pont ROE and Z score'!B35</f>
        <v>0</v>
      </c>
      <c r="C35" s="39">
        <f>'Du Pont ROE and Z score'!C35</f>
        <v>0</v>
      </c>
      <c r="E35" t="s">
        <v>71</v>
      </c>
      <c r="F35" s="39">
        <f>0.717*('Balance Sheet'!B9-'Balance Sheet'!B18)/'Balance Sheet'!B13+0.847*('Balance Sheet'!B22/'Balance Sheet'!B13)+3.107*('Income Statement'!B11/'Balance Sheet'!B13)+0.42*('Balance Sheet'!B23/'Balance Sheet'!B20)+0.998*('Income Statement'!B5/'Balance Sheet'!B13)</f>
        <v>3.3495293335216352</v>
      </c>
      <c r="G35" s="39">
        <f>0.717*('Balance Sheet'!C9-'Balance Sheet'!C18)/'Balance Sheet'!C13+0.847*('Balance Sheet'!C22/'Balance Sheet'!C13)+3.107*('Income Statement'!C11/'Balance Sheet'!C13)+0.42*('Balance Sheet'!C23/'Balance Sheet'!C20)+0.998*('Income Statement'!C5/'Balance Sheet'!C13)</f>
        <v>3.5516390227330388</v>
      </c>
    </row>
    <row r="37" spans="1:9" s="57" customFormat="1" x14ac:dyDescent="0.25">
      <c r="A37"/>
      <c r="B37"/>
      <c r="C37"/>
      <c r="D37" s="78"/>
      <c r="E37"/>
      <c r="F37"/>
      <c r="G37"/>
      <c r="I37" s="58"/>
    </row>
    <row r="38" spans="1:9" s="57" customFormat="1" x14ac:dyDescent="0.25">
      <c r="A38" s="35" t="s">
        <v>68</v>
      </c>
      <c r="B38"/>
      <c r="C38"/>
      <c r="D38" s="78"/>
      <c r="E38" s="35" t="s">
        <v>68</v>
      </c>
      <c r="F38"/>
      <c r="G38"/>
    </row>
    <row r="39" spans="1:9" s="57" customFormat="1" x14ac:dyDescent="0.25">
      <c r="A39" t="s">
        <v>67</v>
      </c>
      <c r="B39" s="36">
        <f>'Du Pont ROE and Z score'!B39</f>
        <v>100000</v>
      </c>
      <c r="C39" s="36">
        <f>'Du Pont ROE and Z score'!C39</f>
        <v>100000</v>
      </c>
      <c r="D39" s="78"/>
      <c r="E39" t="s">
        <v>67</v>
      </c>
      <c r="F39" s="36">
        <v>100000</v>
      </c>
      <c r="G39" s="36">
        <v>100000</v>
      </c>
    </row>
    <row r="40" spans="1:9" s="57" customFormat="1" x14ac:dyDescent="0.25">
      <c r="A40" t="s">
        <v>69</v>
      </c>
      <c r="B40" s="38">
        <f>'Du Pont ROE and Z score'!B40</f>
        <v>8.8439999999999994</v>
      </c>
      <c r="C40" s="38">
        <f>'Du Pont ROE and Z score'!C40</f>
        <v>17.592000000000002</v>
      </c>
      <c r="D40" s="78"/>
      <c r="E40" t="s">
        <v>69</v>
      </c>
      <c r="F40" s="38">
        <v>8.8439999999999994</v>
      </c>
      <c r="G40" s="38">
        <v>17.592000000000002</v>
      </c>
    </row>
    <row r="41" spans="1:9" x14ac:dyDescent="0.25">
      <c r="A41" s="100" t="s">
        <v>78</v>
      </c>
      <c r="B41" s="101">
        <f>'Du Pont ROE and Z score'!B41</f>
        <v>884399.99999999988</v>
      </c>
      <c r="C41" s="101">
        <f>'Du Pont ROE and Z score'!C41</f>
        <v>1759200.0000000002</v>
      </c>
      <c r="E41" s="100" t="s">
        <v>78</v>
      </c>
      <c r="F41" s="101">
        <f>F39*F40</f>
        <v>884399.99999999988</v>
      </c>
      <c r="G41" s="101">
        <f>G39*G40</f>
        <v>1759200.0000000002</v>
      </c>
    </row>
  </sheetData>
  <printOptions gridLines="1" gridLinesSet="0"/>
  <pageMargins left="0.25" right="0.25" top="1" bottom="1" header="0.5" footer="0.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G9"/>
  <sheetViews>
    <sheetView workbookViewId="0">
      <selection activeCell="F18" sqref="F18"/>
    </sheetView>
  </sheetViews>
  <sheetFormatPr defaultRowHeight="15" x14ac:dyDescent="0.25"/>
  <cols>
    <col min="1" max="1" width="22.42578125" bestFit="1" customWidth="1"/>
    <col min="2" max="3" width="9.5703125" bestFit="1" customWidth="1"/>
    <col min="5" max="5" width="22" customWidth="1"/>
    <col min="6" max="7" width="10.28515625" customWidth="1"/>
  </cols>
  <sheetData>
    <row r="1" spans="1:7" x14ac:dyDescent="0.25">
      <c r="A1" s="23" t="s">
        <v>0</v>
      </c>
      <c r="B1" s="2"/>
      <c r="C1" s="2"/>
      <c r="D1" s="2"/>
      <c r="E1" s="23" t="str">
        <f>'Income Statement'!A1</f>
        <v>Elvis Products International</v>
      </c>
      <c r="F1" s="2"/>
      <c r="G1" s="2"/>
    </row>
    <row r="2" spans="1:7" ht="15.75" thickBot="1" x14ac:dyDescent="0.3">
      <c r="A2" s="23" t="s">
        <v>61</v>
      </c>
      <c r="B2" s="2"/>
      <c r="C2" s="2"/>
      <c r="D2" s="2"/>
      <c r="E2" s="23" t="s">
        <v>61</v>
      </c>
      <c r="F2" s="2"/>
      <c r="G2" s="2"/>
    </row>
    <row r="3" spans="1:7" ht="15.75" thickBot="1" x14ac:dyDescent="0.3">
      <c r="A3" s="30"/>
      <c r="B3" s="30">
        <f>'Income Statement'!B4</f>
        <v>2009</v>
      </c>
      <c r="C3" s="30">
        <f>'Income Statement'!C4</f>
        <v>2008</v>
      </c>
      <c r="D3" s="30"/>
      <c r="E3" s="30"/>
      <c r="F3" s="30">
        <f>'Income Statement'!B4</f>
        <v>2009</v>
      </c>
      <c r="G3" s="30">
        <f>'Income Statement'!C4</f>
        <v>2008</v>
      </c>
    </row>
    <row r="4" spans="1:7" x14ac:dyDescent="0.25">
      <c r="A4" t="s">
        <v>63</v>
      </c>
      <c r="B4" s="29">
        <f>'Income Statement'!$B18</f>
        <v>0.4</v>
      </c>
      <c r="C4" s="29">
        <f>'Income Statement'!$B18</f>
        <v>0.4</v>
      </c>
      <c r="D4" s="29"/>
      <c r="E4" t="s">
        <v>63</v>
      </c>
      <c r="F4" s="29">
        <f>'Income Statement'!$B18</f>
        <v>0.4</v>
      </c>
      <c r="G4" s="29">
        <f>'Income Statement'!$B18</f>
        <v>0.4</v>
      </c>
    </row>
    <row r="5" spans="1:7" x14ac:dyDescent="0.25">
      <c r="A5" t="s">
        <v>57</v>
      </c>
      <c r="B5" s="102"/>
      <c r="C5" s="102"/>
      <c r="D5" s="18"/>
      <c r="E5" t="s">
        <v>57</v>
      </c>
      <c r="F5" s="18">
        <f>'Income Statement'!B11*(1-F4)</f>
        <v>89820</v>
      </c>
      <c r="G5" s="18">
        <f>'Income Statement'!C11*(1-G4)</f>
        <v>125460</v>
      </c>
    </row>
    <row r="6" spans="1:7" x14ac:dyDescent="0.25">
      <c r="A6" t="s">
        <v>58</v>
      </c>
      <c r="B6" s="102"/>
      <c r="C6" s="102"/>
      <c r="D6" s="18"/>
      <c r="E6" t="s">
        <v>58</v>
      </c>
      <c r="F6" s="18">
        <f>'Balance Sheet'!B9+'Balance Sheet'!B12-('Balance Sheet'!B18-'Balance Sheet'!B16)</f>
        <v>1335600</v>
      </c>
      <c r="G6" s="18">
        <f>'Balance Sheet'!C9+'Balance Sheet'!C12-('Balance Sheet'!C18-'Balance Sheet'!C16)</f>
        <v>1187200</v>
      </c>
    </row>
    <row r="7" spans="1:7" x14ac:dyDescent="0.25">
      <c r="A7" t="s">
        <v>59</v>
      </c>
      <c r="B7" s="55">
        <v>0.13</v>
      </c>
      <c r="C7" s="55">
        <v>0.13</v>
      </c>
      <c r="D7" s="55"/>
      <c r="E7" t="s">
        <v>59</v>
      </c>
      <c r="F7" s="55">
        <v>0.13</v>
      </c>
      <c r="G7" s="55">
        <v>0.13</v>
      </c>
    </row>
    <row r="8" spans="1:7" x14ac:dyDescent="0.25">
      <c r="A8" t="s">
        <v>60</v>
      </c>
      <c r="B8" s="102"/>
      <c r="C8" s="102"/>
      <c r="D8" s="18"/>
      <c r="E8" t="s">
        <v>60</v>
      </c>
      <c r="F8" s="18">
        <f>F7*F6</f>
        <v>173628</v>
      </c>
      <c r="G8" s="18">
        <f>G7*G6</f>
        <v>154336</v>
      </c>
    </row>
    <row r="9" spans="1:7" x14ac:dyDescent="0.25">
      <c r="A9" t="s">
        <v>62</v>
      </c>
      <c r="B9" s="103"/>
      <c r="C9" s="103"/>
      <c r="D9" s="54"/>
      <c r="E9" t="s">
        <v>62</v>
      </c>
      <c r="F9" s="54">
        <f>F5-F8</f>
        <v>-83808</v>
      </c>
      <c r="G9" s="54">
        <f>G5-G8</f>
        <v>-28876</v>
      </c>
    </row>
  </sheetData>
  <phoneticPr fontId="15" type="noConversion"/>
  <printOptions gridLines="1"/>
  <pageMargins left="0.25" right="0.2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5"/>
  <sheetViews>
    <sheetView workbookViewId="0">
      <selection activeCell="B19" sqref="B19"/>
    </sheetView>
  </sheetViews>
  <sheetFormatPr defaultRowHeight="15" x14ac:dyDescent="0.25"/>
  <cols>
    <col min="1" max="1" width="33.5703125" customWidth="1"/>
    <col min="2" max="3" width="12.7109375" customWidth="1"/>
    <col min="5" max="5" width="34.7109375" bestFit="1" customWidth="1"/>
    <col min="6" max="7" width="10.7109375" bestFit="1" customWidth="1"/>
    <col min="8" max="8" width="9.140625" style="124"/>
  </cols>
  <sheetData>
    <row r="1" spans="1:8" ht="15.75" x14ac:dyDescent="0.25">
      <c r="A1" s="46" t="str">
        <f>'Income Statement'!A1</f>
        <v>Elvis Products International</v>
      </c>
      <c r="B1" s="1"/>
      <c r="C1" s="1"/>
      <c r="E1" s="46" t="str">
        <f t="shared" ref="E1:E24" si="0">A1</f>
        <v>Elvis Products International</v>
      </c>
      <c r="F1" s="1"/>
      <c r="G1" s="1"/>
    </row>
    <row r="2" spans="1:8" ht="15.75" x14ac:dyDescent="0.25">
      <c r="A2" s="46" t="s">
        <v>12</v>
      </c>
      <c r="B2" s="1"/>
      <c r="C2" s="1"/>
      <c r="E2" s="46" t="str">
        <f>"Common Size and Percentage Chagnge"&amp;" "&amp;A2</f>
        <v>Common Size and Percentage Chagnge Balance Sheet</v>
      </c>
      <c r="F2" s="1"/>
      <c r="G2" s="1"/>
    </row>
    <row r="3" spans="1:8" ht="15.75" x14ac:dyDescent="0.25">
      <c r="A3" s="46" t="str">
        <f>"As of Dec. 31, "&amp;TEXT(B5,"#000")</f>
        <v>As of Dec. 31, 2009</v>
      </c>
      <c r="B3" s="1"/>
      <c r="C3" s="1"/>
      <c r="E3" s="46" t="str">
        <f t="shared" si="0"/>
        <v>As of Dec. 31, 2009</v>
      </c>
      <c r="F3" s="1"/>
      <c r="G3" s="1"/>
    </row>
    <row r="4" spans="1:8" ht="16.5" thickBot="1" x14ac:dyDescent="0.3">
      <c r="A4" s="46"/>
      <c r="B4" s="1"/>
      <c r="C4" s="1"/>
      <c r="E4" s="46"/>
      <c r="F4" s="164" t="s">
        <v>87</v>
      </c>
      <c r="G4" s="164"/>
      <c r="H4" s="184" t="s">
        <v>83</v>
      </c>
    </row>
    <row r="5" spans="1:8" x14ac:dyDescent="0.25">
      <c r="A5" s="15" t="s">
        <v>13</v>
      </c>
      <c r="B5" s="16">
        <f>'Income Statement'!B4</f>
        <v>2009</v>
      </c>
      <c r="C5" s="16">
        <f>'Income Statement'!C4</f>
        <v>2008</v>
      </c>
      <c r="E5" s="15" t="str">
        <f t="shared" si="0"/>
        <v>Assets</v>
      </c>
      <c r="F5" s="163">
        <f>B5</f>
        <v>2009</v>
      </c>
      <c r="G5" s="163">
        <f>C5</f>
        <v>2008</v>
      </c>
      <c r="H5" s="185"/>
    </row>
    <row r="6" spans="1:8" x14ac:dyDescent="0.25">
      <c r="A6" t="s">
        <v>14</v>
      </c>
      <c r="B6" s="36">
        <v>52000</v>
      </c>
      <c r="C6" s="36">
        <v>57600</v>
      </c>
      <c r="E6" s="14" t="str">
        <f t="shared" si="0"/>
        <v xml:space="preserve">        Cash and Equivalents</v>
      </c>
      <c r="F6" s="14">
        <f>B6/B$13</f>
        <v>3.1499878846619818E-2</v>
      </c>
      <c r="G6" s="14">
        <f>C6/C$13</f>
        <v>3.9215686274509803E-2</v>
      </c>
      <c r="H6" s="157">
        <f>B6/C6-1</f>
        <v>-9.722222222222221E-2</v>
      </c>
    </row>
    <row r="7" spans="1:8" x14ac:dyDescent="0.25">
      <c r="A7" t="s">
        <v>15</v>
      </c>
      <c r="B7" s="36">
        <v>402000</v>
      </c>
      <c r="C7" s="36">
        <v>351200</v>
      </c>
      <c r="E7" s="14" t="str">
        <f t="shared" si="0"/>
        <v xml:space="preserve">        Accounts Receivable</v>
      </c>
      <c r="F7" s="14">
        <f t="shared" ref="F7:G22" si="1">B7/B$13</f>
        <v>0.24351829416040707</v>
      </c>
      <c r="G7" s="14">
        <f t="shared" si="1"/>
        <v>0.23910675381263616</v>
      </c>
      <c r="H7" s="157">
        <f>B7/C7-1</f>
        <v>0.14464692482915709</v>
      </c>
    </row>
    <row r="8" spans="1:8" x14ac:dyDescent="0.25">
      <c r="A8" t="s">
        <v>16</v>
      </c>
      <c r="B8" s="40">
        <v>836000</v>
      </c>
      <c r="C8" s="40">
        <v>715200</v>
      </c>
      <c r="E8" s="14" t="str">
        <f t="shared" si="0"/>
        <v xml:space="preserve">        Inventory</v>
      </c>
      <c r="F8" s="108">
        <f>B8/B$13</f>
        <v>0.50642112914950332</v>
      </c>
      <c r="G8" s="108">
        <f t="shared" si="1"/>
        <v>0.48692810457516339</v>
      </c>
      <c r="H8" s="158">
        <f t="shared" ref="H8:H24" si="2">B8/C8-1</f>
        <v>0.16890380313199116</v>
      </c>
    </row>
    <row r="9" spans="1:8" x14ac:dyDescent="0.25">
      <c r="A9" s="4" t="s">
        <v>17</v>
      </c>
      <c r="B9" s="41">
        <f>SUM(B6:B8)</f>
        <v>1290000</v>
      </c>
      <c r="C9" s="41">
        <f>SUM(C6:C8)</f>
        <v>1124000</v>
      </c>
      <c r="E9" s="109" t="str">
        <f t="shared" si="0"/>
        <v>Total Current Assets</v>
      </c>
      <c r="F9" s="110">
        <f t="shared" si="1"/>
        <v>0.78143930215653012</v>
      </c>
      <c r="G9" s="110">
        <f t="shared" si="1"/>
        <v>0.76525054466230935</v>
      </c>
      <c r="H9" s="157">
        <f t="shared" si="2"/>
        <v>0.14768683274021344</v>
      </c>
    </row>
    <row r="10" spans="1:8" x14ac:dyDescent="0.25">
      <c r="A10" s="5" t="s">
        <v>18</v>
      </c>
      <c r="B10" s="36">
        <v>527000</v>
      </c>
      <c r="C10" s="36">
        <v>491000</v>
      </c>
      <c r="D10" s="6"/>
      <c r="E10" s="95" t="str">
        <f t="shared" si="0"/>
        <v xml:space="preserve">        Plant &amp; Equipment</v>
      </c>
      <c r="F10" s="14">
        <f t="shared" si="1"/>
        <v>0.31923915677247394</v>
      </c>
      <c r="G10" s="14">
        <f t="shared" si="1"/>
        <v>0.33428649237472768</v>
      </c>
      <c r="H10" s="157">
        <f t="shared" si="2"/>
        <v>7.3319755600814718E-2</v>
      </c>
    </row>
    <row r="11" spans="1:8" x14ac:dyDescent="0.25">
      <c r="A11" s="5" t="s">
        <v>19</v>
      </c>
      <c r="B11" s="40">
        <f>C11+'Income Statement'!B10</f>
        <v>166200</v>
      </c>
      <c r="C11" s="40">
        <v>146200</v>
      </c>
      <c r="E11" s="95" t="str">
        <f t="shared" si="0"/>
        <v xml:space="preserve">        Accumulated Depreciation</v>
      </c>
      <c r="F11" s="108">
        <f t="shared" si="1"/>
        <v>0.10067845892900412</v>
      </c>
      <c r="G11" s="108">
        <f t="shared" si="1"/>
        <v>9.9537037037037035E-2</v>
      </c>
      <c r="H11" s="158">
        <f t="shared" si="2"/>
        <v>0.13679890560875507</v>
      </c>
    </row>
    <row r="12" spans="1:8" ht="15.75" x14ac:dyDescent="0.25">
      <c r="A12" s="4" t="s">
        <v>20</v>
      </c>
      <c r="B12" s="42">
        <f>B10-B11</f>
        <v>360800</v>
      </c>
      <c r="C12" s="42">
        <f>C10-C11</f>
        <v>344800</v>
      </c>
      <c r="E12" s="109" t="str">
        <f t="shared" si="0"/>
        <v>Net Fixed Assets</v>
      </c>
      <c r="F12" s="111">
        <f t="shared" si="1"/>
        <v>0.21856069784346982</v>
      </c>
      <c r="G12" s="111">
        <f t="shared" si="1"/>
        <v>0.23474945533769062</v>
      </c>
      <c r="H12" s="158">
        <f t="shared" si="2"/>
        <v>4.6403712296983812E-2</v>
      </c>
    </row>
    <row r="13" spans="1:8" ht="15.75" thickBot="1" x14ac:dyDescent="0.3">
      <c r="A13" s="3" t="s">
        <v>21</v>
      </c>
      <c r="B13" s="43">
        <f>B9+B12</f>
        <v>1650800</v>
      </c>
      <c r="C13" s="43">
        <f>C9+C12</f>
        <v>1468800</v>
      </c>
      <c r="E13" s="112" t="str">
        <f t="shared" si="0"/>
        <v>Total Assets</v>
      </c>
      <c r="F13" s="113">
        <f t="shared" si="1"/>
        <v>1</v>
      </c>
      <c r="G13" s="113">
        <f t="shared" si="1"/>
        <v>1</v>
      </c>
      <c r="H13" s="157">
        <f t="shared" si="2"/>
        <v>0.12391067538126355</v>
      </c>
    </row>
    <row r="14" spans="1:8" x14ac:dyDescent="0.25">
      <c r="A14" s="15" t="s">
        <v>22</v>
      </c>
      <c r="B14" s="34"/>
      <c r="C14" s="34"/>
      <c r="E14" s="114" t="str">
        <f t="shared" si="0"/>
        <v>Liabilities and Owner's Equity</v>
      </c>
      <c r="F14" s="115"/>
      <c r="G14" s="115"/>
      <c r="H14" s="160"/>
    </row>
    <row r="15" spans="1:8" x14ac:dyDescent="0.25">
      <c r="A15" t="s">
        <v>23</v>
      </c>
      <c r="B15" s="36">
        <v>175200</v>
      </c>
      <c r="C15" s="36">
        <v>145600</v>
      </c>
      <c r="E15" s="14" t="str">
        <f t="shared" si="0"/>
        <v xml:space="preserve">        Accounts Payable</v>
      </c>
      <c r="F15" s="14">
        <f t="shared" si="1"/>
        <v>0.10613036103707293</v>
      </c>
      <c r="G15" s="14">
        <f t="shared" si="1"/>
        <v>9.9128540305010893E-2</v>
      </c>
      <c r="H15" s="157">
        <f t="shared" si="2"/>
        <v>0.20329670329670324</v>
      </c>
    </row>
    <row r="16" spans="1:8" x14ac:dyDescent="0.25">
      <c r="A16" t="s">
        <v>24</v>
      </c>
      <c r="B16" s="36">
        <v>225000</v>
      </c>
      <c r="C16" s="36">
        <v>200000</v>
      </c>
      <c r="E16" s="14" t="str">
        <f t="shared" si="0"/>
        <v xml:space="preserve">        Short-term Notes Payable</v>
      </c>
      <c r="F16" s="14">
        <f t="shared" si="1"/>
        <v>0.13629755270172036</v>
      </c>
      <c r="G16" s="14">
        <f t="shared" si="1"/>
        <v>0.13616557734204793</v>
      </c>
      <c r="H16" s="157">
        <f t="shared" si="2"/>
        <v>0.125</v>
      </c>
    </row>
    <row r="17" spans="1:8" x14ac:dyDescent="0.25">
      <c r="A17" t="s">
        <v>25</v>
      </c>
      <c r="B17" s="40">
        <v>140000</v>
      </c>
      <c r="C17" s="40">
        <v>136000</v>
      </c>
      <c r="E17" s="14" t="str">
        <f t="shared" si="0"/>
        <v xml:space="preserve">        Other Current Liabilities</v>
      </c>
      <c r="F17" s="108">
        <f t="shared" si="1"/>
        <v>8.4807366125514899E-2</v>
      </c>
      <c r="G17" s="108">
        <f t="shared" si="1"/>
        <v>9.2592592592592587E-2</v>
      </c>
      <c r="H17" s="158">
        <f t="shared" si="2"/>
        <v>2.9411764705882248E-2</v>
      </c>
    </row>
    <row r="18" spans="1:8" x14ac:dyDescent="0.25">
      <c r="A18" s="4" t="s">
        <v>26</v>
      </c>
      <c r="B18" s="41">
        <f>SUM(B15:B17)</f>
        <v>540200</v>
      </c>
      <c r="C18" s="41">
        <f>SUM(C15:C17)</f>
        <v>481600</v>
      </c>
      <c r="E18" s="109" t="str">
        <f t="shared" si="0"/>
        <v>Total Current Liabilities</v>
      </c>
      <c r="F18" s="110">
        <f t="shared" si="1"/>
        <v>0.32723527986430823</v>
      </c>
      <c r="G18" s="110">
        <f t="shared" si="1"/>
        <v>0.32788671023965144</v>
      </c>
      <c r="H18" s="157">
        <f t="shared" si="2"/>
        <v>0.12167774086378746</v>
      </c>
    </row>
    <row r="19" spans="1:8" x14ac:dyDescent="0.25">
      <c r="A19" t="s">
        <v>27</v>
      </c>
      <c r="B19" s="40">
        <v>424612</v>
      </c>
      <c r="C19" s="40">
        <v>323432</v>
      </c>
      <c r="E19" s="14" t="str">
        <f t="shared" si="0"/>
        <v xml:space="preserve">        Long-term Debt</v>
      </c>
      <c r="F19" s="108">
        <f t="shared" si="1"/>
        <v>0.25721589532347955</v>
      </c>
      <c r="G19" s="108">
        <f t="shared" si="1"/>
        <v>0.22020152505446622</v>
      </c>
      <c r="H19" s="158">
        <f t="shared" si="2"/>
        <v>0.31283237280170173</v>
      </c>
    </row>
    <row r="20" spans="1:8" x14ac:dyDescent="0.25">
      <c r="A20" s="4" t="s">
        <v>28</v>
      </c>
      <c r="B20" s="41">
        <f>B18+B19</f>
        <v>964812</v>
      </c>
      <c r="C20" s="41">
        <f>C18+C19</f>
        <v>805032</v>
      </c>
      <c r="E20" s="109" t="str">
        <f t="shared" si="0"/>
        <v>Total Liabilities</v>
      </c>
      <c r="F20" s="110">
        <f>B20/B$13</f>
        <v>0.58445117518778777</v>
      </c>
      <c r="G20" s="110">
        <f t="shared" si="1"/>
        <v>0.54808823529411765</v>
      </c>
      <c r="H20" s="157">
        <f t="shared" si="2"/>
        <v>0.19847658229734977</v>
      </c>
    </row>
    <row r="21" spans="1:8" x14ac:dyDescent="0.25">
      <c r="A21" s="5" t="s">
        <v>29</v>
      </c>
      <c r="B21" s="36">
        <v>460000</v>
      </c>
      <c r="C21" s="36">
        <v>460000</v>
      </c>
      <c r="E21" s="95" t="str">
        <f t="shared" si="0"/>
        <v xml:space="preserve">        Common Stock</v>
      </c>
      <c r="F21" s="14">
        <f t="shared" si="1"/>
        <v>0.2786527744124061</v>
      </c>
      <c r="G21" s="14">
        <f t="shared" si="1"/>
        <v>0.31318082788671026</v>
      </c>
      <c r="H21" s="157">
        <f t="shared" si="2"/>
        <v>0</v>
      </c>
    </row>
    <row r="22" spans="1:8" x14ac:dyDescent="0.25">
      <c r="A22" s="5" t="s">
        <v>30</v>
      </c>
      <c r="B22" s="40">
        <v>225988</v>
      </c>
      <c r="C22" s="40">
        <v>203768</v>
      </c>
      <c r="E22" s="95" t="str">
        <f t="shared" si="0"/>
        <v xml:space="preserve">        Retained Earnings</v>
      </c>
      <c r="F22" s="108">
        <f t="shared" si="1"/>
        <v>0.13689605039980615</v>
      </c>
      <c r="G22" s="108">
        <f t="shared" si="1"/>
        <v>0.13873093681917212</v>
      </c>
      <c r="H22" s="158">
        <f t="shared" si="2"/>
        <v>0.10904558124926389</v>
      </c>
    </row>
    <row r="23" spans="1:8" x14ac:dyDescent="0.25">
      <c r="A23" s="4" t="s">
        <v>31</v>
      </c>
      <c r="B23" s="44">
        <f>B21+B22</f>
        <v>685988</v>
      </c>
      <c r="C23" s="44">
        <f>C21+C22</f>
        <v>663768</v>
      </c>
      <c r="E23" s="109" t="str">
        <f t="shared" si="0"/>
        <v>Total Shareholder's Equity</v>
      </c>
      <c r="F23" s="116">
        <f t="shared" ref="F23:G24" si="3">B23/B$13</f>
        <v>0.41554882481221228</v>
      </c>
      <c r="G23" s="116">
        <f t="shared" si="3"/>
        <v>0.45191176470588235</v>
      </c>
      <c r="H23" s="158">
        <f t="shared" si="2"/>
        <v>3.3475551698786354E-2</v>
      </c>
    </row>
    <row r="24" spans="1:8" ht="15.75" thickBot="1" x14ac:dyDescent="0.3">
      <c r="A24" s="25" t="s">
        <v>32</v>
      </c>
      <c r="B24" s="45">
        <f>B20+B23</f>
        <v>1650800</v>
      </c>
      <c r="C24" s="45">
        <f>C20+C23</f>
        <v>1468800</v>
      </c>
      <c r="E24" s="117" t="str">
        <f t="shared" si="0"/>
        <v>Total Liabilities and Owner's Equity</v>
      </c>
      <c r="F24" s="118">
        <f t="shared" si="3"/>
        <v>1</v>
      </c>
      <c r="G24" s="118">
        <f t="shared" si="3"/>
        <v>1</v>
      </c>
      <c r="H24" s="161">
        <f t="shared" si="2"/>
        <v>0.12391067538126355</v>
      </c>
    </row>
    <row r="25" spans="1:8" ht="15.75" customHeight="1" x14ac:dyDescent="0.25"/>
  </sheetData>
  <mergeCells count="1">
    <mergeCell ref="H4:H5"/>
  </mergeCells>
  <phoneticPr fontId="15" type="noConversion"/>
  <printOptions gridLines="1" gridLinesSet="0"/>
  <pageMargins left="0.25" right="0.2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10" sqref="C10"/>
    </sheetView>
  </sheetViews>
  <sheetFormatPr defaultRowHeight="15" x14ac:dyDescent="0.25"/>
  <cols>
    <col min="1" max="1" width="24.140625" customWidth="1"/>
    <col min="2" max="3" width="10" bestFit="1" customWidth="1"/>
    <col min="4" max="4" width="24.140625" customWidth="1"/>
    <col min="5" max="6" width="10"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c r="C5" s="59"/>
      <c r="D5" s="7" t="s">
        <v>72</v>
      </c>
      <c r="E5" s="26">
        <f>'Balance Sheet'!B9/'Balance Sheet'!B18</f>
        <v>2.3880044427989633</v>
      </c>
      <c r="F5" s="27">
        <f>'Balance Sheet'!C9/'Balance Sheet'!C18</f>
        <v>2.3338870431893688</v>
      </c>
    </row>
    <row r="6" spans="1:6" x14ac:dyDescent="0.25">
      <c r="A6" s="12" t="s">
        <v>73</v>
      </c>
      <c r="B6" s="60"/>
      <c r="C6" s="60"/>
      <c r="D6" s="12" t="s">
        <v>73</v>
      </c>
      <c r="E6" s="27">
        <f>('Balance Sheet'!B9-'Balance Sheet'!B8)/'Balance Sheet'!B18</f>
        <v>0.84042947056645689</v>
      </c>
      <c r="F6" s="27">
        <f>('Balance Sheet'!C9-'Balance Sheet'!C8)/'Balance Sheet'!C18</f>
        <v>0.84883720930232553</v>
      </c>
    </row>
  </sheetData>
  <printOptions gridLines="1" gridLinesSet="0"/>
  <pageMargins left="0.25" right="0.2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opLeftCell="A4" workbookViewId="0">
      <selection activeCell="B16" sqref="B16"/>
    </sheetView>
  </sheetViews>
  <sheetFormatPr defaultRowHeight="15" x14ac:dyDescent="0.25"/>
  <cols>
    <col min="1" max="1" width="24.140625" customWidth="1"/>
    <col min="2" max="3" width="10" bestFit="1" customWidth="1"/>
    <col min="4" max="4" width="24.140625" customWidth="1"/>
    <col min="5" max="6" width="10"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f>'Liquidity Ratios'!B5</f>
        <v>0</v>
      </c>
      <c r="C5" s="59">
        <f>'Liquidity Ratios'!C5</f>
        <v>0</v>
      </c>
      <c r="D5" s="7" t="s">
        <v>72</v>
      </c>
      <c r="E5" s="26">
        <f>'Balance Sheet'!B9/'Balance Sheet'!B18</f>
        <v>2.3880044427989633</v>
      </c>
      <c r="F5" s="27">
        <f>'Balance Sheet'!C9/'Balance Sheet'!C18</f>
        <v>2.3338870431893688</v>
      </c>
    </row>
    <row r="6" spans="1:6" ht="15.75" thickBot="1" x14ac:dyDescent="0.3">
      <c r="A6" s="12" t="s">
        <v>73</v>
      </c>
      <c r="B6" s="60">
        <f>'Liquidity Ratios'!B6</f>
        <v>0</v>
      </c>
      <c r="C6" s="59">
        <f>'Liquidity Ratios'!C6</f>
        <v>0</v>
      </c>
      <c r="D6" s="12" t="s">
        <v>73</v>
      </c>
      <c r="E6" s="27">
        <f>('Balance Sheet'!B9-'Balance Sheet'!B8)/'Balance Sheet'!B18</f>
        <v>0.84042947056645689</v>
      </c>
      <c r="F6" s="27">
        <f>('Balance Sheet'!C9-'Balance Sheet'!C8)/'Balance Sheet'!C18</f>
        <v>0.84883720930232553</v>
      </c>
    </row>
    <row r="7" spans="1:6" ht="15.75" thickBot="1" x14ac:dyDescent="0.3">
      <c r="A7" s="17" t="s">
        <v>35</v>
      </c>
      <c r="B7" s="61"/>
      <c r="C7" s="61"/>
      <c r="D7" s="17" t="s">
        <v>35</v>
      </c>
      <c r="E7" s="17"/>
      <c r="F7" s="17"/>
    </row>
    <row r="8" spans="1:6" x14ac:dyDescent="0.25">
      <c r="A8" s="7" t="s">
        <v>36</v>
      </c>
      <c r="B8" s="59"/>
      <c r="C8" s="59"/>
      <c r="D8" s="7" t="s">
        <v>36</v>
      </c>
      <c r="E8" s="26">
        <f>'Income Statement'!B6/'Balance Sheet'!B8</f>
        <v>3.8875598086124401</v>
      </c>
      <c r="F8" s="26">
        <f>'Income Statement'!C6/'Balance Sheet'!C8</f>
        <v>4.0044742729306488</v>
      </c>
    </row>
    <row r="9" spans="1:6" x14ac:dyDescent="0.25">
      <c r="A9" s="7" t="s">
        <v>37</v>
      </c>
      <c r="B9" s="59"/>
      <c r="C9" s="59"/>
      <c r="D9" s="7" t="s">
        <v>37</v>
      </c>
      <c r="E9" s="26">
        <f>'Income Statement'!B5/'Balance Sheet'!B7</f>
        <v>9.5771144278606961</v>
      </c>
      <c r="F9" s="26">
        <f>'Income Statement'!C5/'Balance Sheet'!C7</f>
        <v>9.7722095671981783</v>
      </c>
    </row>
    <row r="10" spans="1:6" x14ac:dyDescent="0.25">
      <c r="A10" s="99" t="s">
        <v>38</v>
      </c>
      <c r="B10" s="62"/>
      <c r="C10" s="62"/>
      <c r="D10" s="99" t="s">
        <v>38</v>
      </c>
      <c r="E10" s="32">
        <f>'Balance Sheet'!B7/('Income Statement'!B5/360)</f>
        <v>37.589610389610385</v>
      </c>
      <c r="F10" s="32">
        <f>'Balance Sheet'!C7/('Income Statement'!C5/360)</f>
        <v>36.83916083916084</v>
      </c>
    </row>
    <row r="11" spans="1:6" x14ac:dyDescent="0.25">
      <c r="A11" s="7" t="s">
        <v>39</v>
      </c>
      <c r="B11" s="59"/>
      <c r="C11" s="59"/>
      <c r="D11" s="7" t="s">
        <v>39</v>
      </c>
      <c r="E11" s="26">
        <f>'Income Statement'!B5/'Balance Sheet'!B12</f>
        <v>10.670731707317072</v>
      </c>
      <c r="F11" s="26">
        <f>'Income Statement'!C5/'Balance Sheet'!C12</f>
        <v>9.9535962877030162</v>
      </c>
    </row>
    <row r="12" spans="1:6" x14ac:dyDescent="0.25">
      <c r="A12" s="7" t="s">
        <v>40</v>
      </c>
      <c r="B12" s="59"/>
      <c r="C12" s="59"/>
      <c r="D12" s="7" t="s">
        <v>40</v>
      </c>
      <c r="E12" s="26">
        <f>'Income Statement'!B5/'Balance Sheet'!B13</f>
        <v>2.3322025684516596</v>
      </c>
      <c r="F12" s="26">
        <f>'Income Statement'!C5/'Balance Sheet'!C13</f>
        <v>2.3366013071895426</v>
      </c>
    </row>
  </sheetData>
  <printOptions gridLines="1" gridLinesSet="0"/>
  <pageMargins left="0.25" right="0.2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topLeftCell="A11" workbookViewId="0">
      <selection activeCell="F36" sqref="F36"/>
    </sheetView>
  </sheetViews>
  <sheetFormatPr defaultRowHeight="15" x14ac:dyDescent="0.25"/>
  <cols>
    <col min="1" max="1" width="24.140625" customWidth="1"/>
    <col min="2" max="2" width="14.28515625" bestFit="1" customWidth="1"/>
    <col min="3" max="3" width="10" bestFit="1" customWidth="1"/>
    <col min="4" max="4" width="24.140625" customWidth="1"/>
    <col min="5" max="6" width="10"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f>'Efficiency Ratios'!B5</f>
        <v>0</v>
      </c>
      <c r="C5" s="59">
        <f>'Efficiency Ratios'!C5</f>
        <v>0</v>
      </c>
      <c r="D5" s="7" t="s">
        <v>72</v>
      </c>
      <c r="E5" s="26">
        <f>'Balance Sheet'!B9/'Balance Sheet'!B18</f>
        <v>2.3880044427989633</v>
      </c>
      <c r="F5" s="27">
        <f>'Balance Sheet'!C9/'Balance Sheet'!C18</f>
        <v>2.3338870431893688</v>
      </c>
    </row>
    <row r="6" spans="1:6" ht="15.75" thickBot="1" x14ac:dyDescent="0.3">
      <c r="A6" s="12" t="s">
        <v>73</v>
      </c>
      <c r="B6" s="60">
        <f>'Efficiency Ratios'!B6</f>
        <v>0</v>
      </c>
      <c r="C6" s="59">
        <f>'Efficiency Ratios'!C6</f>
        <v>0</v>
      </c>
      <c r="D6" s="12" t="s">
        <v>73</v>
      </c>
      <c r="E6" s="27">
        <f>('Balance Sheet'!B9-'Balance Sheet'!B8)/'Balance Sheet'!B18</f>
        <v>0.84042947056645689</v>
      </c>
      <c r="F6" s="27">
        <f>('Balance Sheet'!C9-'Balance Sheet'!C8)/'Balance Sheet'!C18</f>
        <v>0.84883720930232553</v>
      </c>
    </row>
    <row r="7" spans="1:6" ht="15.75" thickBot="1" x14ac:dyDescent="0.3">
      <c r="A7" s="17" t="s">
        <v>35</v>
      </c>
      <c r="B7" s="61"/>
      <c r="C7" s="61"/>
      <c r="D7" s="17" t="s">
        <v>35</v>
      </c>
      <c r="E7" s="17"/>
      <c r="F7" s="17"/>
    </row>
    <row r="8" spans="1:6" x14ac:dyDescent="0.25">
      <c r="A8" s="7" t="s">
        <v>36</v>
      </c>
      <c r="B8" s="59">
        <f>'Efficiency Ratios'!B8</f>
        <v>0</v>
      </c>
      <c r="C8" s="59">
        <f>'Efficiency Ratios'!C8</f>
        <v>0</v>
      </c>
      <c r="D8" s="7" t="s">
        <v>36</v>
      </c>
      <c r="E8" s="26">
        <f>'Income Statement'!B6/'Balance Sheet'!B8</f>
        <v>3.8875598086124401</v>
      </c>
      <c r="F8" s="26">
        <f>'Income Statement'!C6/'Balance Sheet'!C8</f>
        <v>4.0044742729306488</v>
      </c>
    </row>
    <row r="9" spans="1:6" x14ac:dyDescent="0.25">
      <c r="A9" s="7" t="s">
        <v>37</v>
      </c>
      <c r="B9" s="59">
        <f>'Efficiency Ratios'!B9</f>
        <v>0</v>
      </c>
      <c r="C9" s="59">
        <f>'Efficiency Ratios'!C9</f>
        <v>0</v>
      </c>
      <c r="D9" s="7" t="s">
        <v>37</v>
      </c>
      <c r="E9" s="26">
        <f>'Income Statement'!B5/'Balance Sheet'!B7</f>
        <v>9.5771144278606961</v>
      </c>
      <c r="F9" s="26">
        <f>'Income Statement'!C5/'Balance Sheet'!C7</f>
        <v>9.7722095671981783</v>
      </c>
    </row>
    <row r="10" spans="1:6" x14ac:dyDescent="0.25">
      <c r="A10" s="99" t="s">
        <v>38</v>
      </c>
      <c r="B10" s="62">
        <f>'Efficiency Ratios'!B10</f>
        <v>0</v>
      </c>
      <c r="C10" s="62">
        <f>'Efficiency Ratios'!C10</f>
        <v>0</v>
      </c>
      <c r="D10" s="99" t="s">
        <v>38</v>
      </c>
      <c r="E10" s="32">
        <f>'Balance Sheet'!B7/('Income Statement'!B5/360)</f>
        <v>37.589610389610385</v>
      </c>
      <c r="F10" s="32">
        <f>'Balance Sheet'!C7/('Income Statement'!C5/360)</f>
        <v>36.83916083916084</v>
      </c>
    </row>
    <row r="11" spans="1:6" x14ac:dyDescent="0.25">
      <c r="A11" s="7" t="s">
        <v>39</v>
      </c>
      <c r="B11" s="59">
        <f>'Efficiency Ratios'!B11</f>
        <v>0</v>
      </c>
      <c r="C11" s="59">
        <f>'Efficiency Ratios'!C11</f>
        <v>0</v>
      </c>
      <c r="D11" s="7" t="s">
        <v>39</v>
      </c>
      <c r="E11" s="26">
        <f>'Income Statement'!B5/'Balance Sheet'!B12</f>
        <v>10.670731707317072</v>
      </c>
      <c r="F11" s="26">
        <f>'Income Statement'!C5/'Balance Sheet'!C12</f>
        <v>9.9535962877030162</v>
      </c>
    </row>
    <row r="12" spans="1:6" ht="15.75" thickBot="1" x14ac:dyDescent="0.3">
      <c r="A12" s="7" t="s">
        <v>40</v>
      </c>
      <c r="B12" s="59">
        <f>'Efficiency Ratios'!B12</f>
        <v>0</v>
      </c>
      <c r="C12" s="59">
        <f>'Efficiency Ratios'!C12</f>
        <v>0</v>
      </c>
      <c r="D12" s="7" t="s">
        <v>40</v>
      </c>
      <c r="E12" s="26">
        <f>'Income Statement'!B5/'Balance Sheet'!B13</f>
        <v>2.3322025684516596</v>
      </c>
      <c r="F12" s="26">
        <f>'Income Statement'!C5/'Balance Sheet'!C13</f>
        <v>2.3366013071895426</v>
      </c>
    </row>
    <row r="13" spans="1:6" ht="15.75" thickBot="1" x14ac:dyDescent="0.3">
      <c r="A13" s="17" t="s">
        <v>41</v>
      </c>
      <c r="B13" s="61"/>
      <c r="C13" s="61"/>
      <c r="D13" s="17" t="s">
        <v>41</v>
      </c>
      <c r="E13" s="17"/>
      <c r="F13" s="17"/>
    </row>
    <row r="14" spans="1:6" x14ac:dyDescent="0.25">
      <c r="A14" s="99" t="s">
        <v>42</v>
      </c>
      <c r="B14" s="63"/>
      <c r="C14" s="63"/>
      <c r="D14" s="99" t="s">
        <v>42</v>
      </c>
      <c r="E14" s="8">
        <f>'Balance Sheet'!B20/'Balance Sheet'!B13</f>
        <v>0.58445117518778777</v>
      </c>
      <c r="F14" s="8">
        <f>'Balance Sheet'!C20/'Balance Sheet'!C13</f>
        <v>0.54808823529411765</v>
      </c>
    </row>
    <row r="15" spans="1:6" x14ac:dyDescent="0.25">
      <c r="A15" s="99" t="s">
        <v>43</v>
      </c>
      <c r="B15" s="63"/>
      <c r="C15" s="63"/>
      <c r="D15" s="99" t="s">
        <v>43</v>
      </c>
      <c r="E15" s="8">
        <f>'Balance Sheet'!B19/'Balance Sheet'!B13</f>
        <v>0.25721589532347955</v>
      </c>
      <c r="F15" s="8">
        <f>'Balance Sheet'!C19/'Balance Sheet'!C13</f>
        <v>0.22020152505446622</v>
      </c>
    </row>
    <row r="16" spans="1:6" x14ac:dyDescent="0.25">
      <c r="A16" s="99" t="s">
        <v>44</v>
      </c>
      <c r="B16" s="63"/>
      <c r="C16" s="63"/>
      <c r="D16" s="99" t="s">
        <v>44</v>
      </c>
      <c r="E16" s="8">
        <f>'Balance Sheet'!B19/('Balance Sheet'!B23+'Balance Sheet'!B19)</f>
        <v>0.38232667026832345</v>
      </c>
      <c r="F16" s="8">
        <f>'Balance Sheet'!C19/('Balance Sheet'!C23+'Balance Sheet'!C19)</f>
        <v>0.32762560777957861</v>
      </c>
    </row>
    <row r="17" spans="1:6" x14ac:dyDescent="0.25">
      <c r="A17" s="99" t="s">
        <v>45</v>
      </c>
      <c r="B17" s="64"/>
      <c r="C17" s="64"/>
      <c r="D17" s="99" t="s">
        <v>45</v>
      </c>
      <c r="E17" s="28">
        <f>'Balance Sheet'!B20/'Balance Sheet'!B23</f>
        <v>1.4064560896108971</v>
      </c>
      <c r="F17" s="28">
        <f>'Balance Sheet'!C20/'Balance Sheet'!C23</f>
        <v>1.2128213472177025</v>
      </c>
    </row>
    <row r="18" spans="1:6" x14ac:dyDescent="0.25">
      <c r="A18" s="99" t="s">
        <v>46</v>
      </c>
      <c r="B18" s="65"/>
      <c r="C18" s="65"/>
      <c r="D18" s="99" t="s">
        <v>46</v>
      </c>
      <c r="E18" s="9">
        <f>'Balance Sheet'!B19/'Balance Sheet'!B23</f>
        <v>0.61897875764590637</v>
      </c>
      <c r="F18" s="9">
        <f>'Balance Sheet'!C19/'Balance Sheet'!C23</f>
        <v>0.48726663533041664</v>
      </c>
    </row>
  </sheetData>
  <printOptions gridLines="1" gridLinesSet="0"/>
  <pageMargins left="0.25" right="0.2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3" sqref="E3:F3"/>
    </sheetView>
  </sheetViews>
  <sheetFormatPr defaultRowHeight="15" x14ac:dyDescent="0.25"/>
  <cols>
    <col min="1" max="1" width="24.140625" customWidth="1"/>
    <col min="2" max="3" width="10" bestFit="1" customWidth="1"/>
    <col min="4" max="4" width="24.140625" customWidth="1"/>
    <col min="5" max="6" width="10"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f>'Leverge Ratios'!B5</f>
        <v>0</v>
      </c>
      <c r="C5" s="59">
        <f>'Leverge Ratios'!C5</f>
        <v>0</v>
      </c>
      <c r="D5" s="7" t="s">
        <v>72</v>
      </c>
      <c r="E5" s="26">
        <f>'Balance Sheet'!B9/'Balance Sheet'!B18</f>
        <v>2.3880044427989633</v>
      </c>
      <c r="F5" s="27">
        <f>'Balance Sheet'!C9/'Balance Sheet'!C18</f>
        <v>2.3338870431893688</v>
      </c>
    </row>
    <row r="6" spans="1:6" ht="15.75" thickBot="1" x14ac:dyDescent="0.3">
      <c r="A6" s="12" t="s">
        <v>73</v>
      </c>
      <c r="B6" s="60">
        <f>'Leverge Ratios'!B6</f>
        <v>0</v>
      </c>
      <c r="C6" s="59">
        <f>'Leverge Ratios'!C6</f>
        <v>0</v>
      </c>
      <c r="D6" s="12" t="s">
        <v>73</v>
      </c>
      <c r="E6" s="27">
        <f>('Balance Sheet'!B9-'Balance Sheet'!B8)/'Balance Sheet'!B18</f>
        <v>0.84042947056645689</v>
      </c>
      <c r="F6" s="27">
        <f>('Balance Sheet'!C9-'Balance Sheet'!C8)/'Balance Sheet'!C18</f>
        <v>0.84883720930232553</v>
      </c>
    </row>
    <row r="7" spans="1:6" ht="15.75" thickBot="1" x14ac:dyDescent="0.3">
      <c r="A7" s="17" t="s">
        <v>35</v>
      </c>
      <c r="B7" s="61"/>
      <c r="C7" s="61"/>
      <c r="D7" s="17" t="s">
        <v>35</v>
      </c>
      <c r="E7" s="17"/>
      <c r="F7" s="17"/>
    </row>
    <row r="8" spans="1:6" x14ac:dyDescent="0.25">
      <c r="A8" s="7" t="s">
        <v>36</v>
      </c>
      <c r="B8" s="59">
        <f>'Leverge Ratios'!B8</f>
        <v>0</v>
      </c>
      <c r="C8" s="59">
        <f>'Leverge Ratios'!C8</f>
        <v>0</v>
      </c>
      <c r="D8" s="7" t="s">
        <v>36</v>
      </c>
      <c r="E8" s="26">
        <f>'Income Statement'!B6/'Balance Sheet'!B8</f>
        <v>3.8875598086124401</v>
      </c>
      <c r="F8" s="26">
        <f>'Income Statement'!C6/'Balance Sheet'!C8</f>
        <v>4.0044742729306488</v>
      </c>
    </row>
    <row r="9" spans="1:6" x14ac:dyDescent="0.25">
      <c r="A9" s="7" t="s">
        <v>37</v>
      </c>
      <c r="B9" s="59">
        <f>'Leverge Ratios'!B9</f>
        <v>0</v>
      </c>
      <c r="C9" s="59">
        <f>'Leverge Ratios'!C9</f>
        <v>0</v>
      </c>
      <c r="D9" s="7" t="s">
        <v>37</v>
      </c>
      <c r="E9" s="26">
        <f>'Income Statement'!B5/'Balance Sheet'!B7</f>
        <v>9.5771144278606961</v>
      </c>
      <c r="F9" s="26">
        <f>'Income Statement'!C5/'Balance Sheet'!C7</f>
        <v>9.7722095671981783</v>
      </c>
    </row>
    <row r="10" spans="1:6" x14ac:dyDescent="0.25">
      <c r="A10" s="99" t="s">
        <v>38</v>
      </c>
      <c r="B10" s="62">
        <f>'Leverge Ratios'!B10</f>
        <v>0</v>
      </c>
      <c r="C10" s="62">
        <f>'Leverge Ratios'!C10</f>
        <v>0</v>
      </c>
      <c r="D10" s="99" t="s">
        <v>38</v>
      </c>
      <c r="E10" s="32">
        <f>'Balance Sheet'!B7/('Income Statement'!B5/360)</f>
        <v>37.589610389610385</v>
      </c>
      <c r="F10" s="32">
        <f>'Balance Sheet'!C7/('Income Statement'!C5/360)</f>
        <v>36.83916083916084</v>
      </c>
    </row>
    <row r="11" spans="1:6" x14ac:dyDescent="0.25">
      <c r="A11" s="7" t="s">
        <v>39</v>
      </c>
      <c r="B11" s="59">
        <f>'Leverge Ratios'!B11</f>
        <v>0</v>
      </c>
      <c r="C11" s="59">
        <f>'Leverge Ratios'!C11</f>
        <v>0</v>
      </c>
      <c r="D11" s="7" t="s">
        <v>39</v>
      </c>
      <c r="E11" s="26">
        <f>'Income Statement'!B5/'Balance Sheet'!B12</f>
        <v>10.670731707317072</v>
      </c>
      <c r="F11" s="26">
        <f>'Income Statement'!C5/'Balance Sheet'!C12</f>
        <v>9.9535962877030162</v>
      </c>
    </row>
    <row r="12" spans="1:6" ht="15.75" thickBot="1" x14ac:dyDescent="0.3">
      <c r="A12" s="7" t="s">
        <v>40</v>
      </c>
      <c r="B12" s="59">
        <f>'Leverge Ratios'!B12</f>
        <v>0</v>
      </c>
      <c r="C12" s="59">
        <f>'Leverge Ratios'!C12</f>
        <v>0</v>
      </c>
      <c r="D12" s="7" t="s">
        <v>40</v>
      </c>
      <c r="E12" s="26">
        <f>'Income Statement'!B5/'Balance Sheet'!B13</f>
        <v>2.3322025684516596</v>
      </c>
      <c r="F12" s="26">
        <f>'Income Statement'!C5/'Balance Sheet'!C13</f>
        <v>2.3366013071895426</v>
      </c>
    </row>
    <row r="13" spans="1:6" ht="15.75" thickBot="1" x14ac:dyDescent="0.3">
      <c r="A13" s="17" t="s">
        <v>41</v>
      </c>
      <c r="B13" s="61"/>
      <c r="C13" s="61"/>
      <c r="D13" s="17" t="s">
        <v>41</v>
      </c>
      <c r="E13" s="17"/>
      <c r="F13" s="17"/>
    </row>
    <row r="14" spans="1:6" x14ac:dyDescent="0.25">
      <c r="A14" s="99" t="s">
        <v>42</v>
      </c>
      <c r="B14" s="63">
        <f>'Leverge Ratios'!B14</f>
        <v>0</v>
      </c>
      <c r="C14" s="63">
        <f>'Leverge Ratios'!C14</f>
        <v>0</v>
      </c>
      <c r="D14" s="99" t="s">
        <v>42</v>
      </c>
      <c r="E14" s="8">
        <f>'Balance Sheet'!B20/'Balance Sheet'!B13</f>
        <v>0.58445117518778777</v>
      </c>
      <c r="F14" s="8">
        <f>'Balance Sheet'!C20/'Balance Sheet'!C13</f>
        <v>0.54808823529411765</v>
      </c>
    </row>
    <row r="15" spans="1:6" x14ac:dyDescent="0.25">
      <c r="A15" s="99" t="s">
        <v>43</v>
      </c>
      <c r="B15" s="63">
        <f>'Leverge Ratios'!B15</f>
        <v>0</v>
      </c>
      <c r="C15" s="63">
        <f>'Leverge Ratios'!C15</f>
        <v>0</v>
      </c>
      <c r="D15" s="99" t="s">
        <v>43</v>
      </c>
      <c r="E15" s="8">
        <f>'Balance Sheet'!B19/'Balance Sheet'!B13</f>
        <v>0.25721589532347955</v>
      </c>
      <c r="F15" s="8">
        <f>'Balance Sheet'!C19/'Balance Sheet'!C13</f>
        <v>0.22020152505446622</v>
      </c>
    </row>
    <row r="16" spans="1:6" x14ac:dyDescent="0.25">
      <c r="A16" s="99" t="s">
        <v>44</v>
      </c>
      <c r="B16" s="63">
        <f>'Leverge Ratios'!B16</f>
        <v>0</v>
      </c>
      <c r="C16" s="63">
        <f>'Leverge Ratios'!C16</f>
        <v>0</v>
      </c>
      <c r="D16" s="99" t="s">
        <v>44</v>
      </c>
      <c r="E16" s="8">
        <f>'Balance Sheet'!B19/('Balance Sheet'!B23+'Balance Sheet'!B19)</f>
        <v>0.38232667026832345</v>
      </c>
      <c r="F16" s="8">
        <f>'Balance Sheet'!C19/('Balance Sheet'!C23+'Balance Sheet'!C19)</f>
        <v>0.32762560777957861</v>
      </c>
    </row>
    <row r="17" spans="1:6" x14ac:dyDescent="0.25">
      <c r="A17" s="99" t="s">
        <v>45</v>
      </c>
      <c r="B17" s="64">
        <f>'Leverge Ratios'!B17</f>
        <v>0</v>
      </c>
      <c r="C17" s="64">
        <f>'Leverge Ratios'!C17</f>
        <v>0</v>
      </c>
      <c r="D17" s="99" t="s">
        <v>45</v>
      </c>
      <c r="E17" s="28">
        <f>'Balance Sheet'!B20/'Balance Sheet'!B23</f>
        <v>1.4064560896108971</v>
      </c>
      <c r="F17" s="28">
        <f>'Balance Sheet'!C20/'Balance Sheet'!C23</f>
        <v>1.2128213472177025</v>
      </c>
    </row>
    <row r="18" spans="1:6" ht="15.75" thickBot="1" x14ac:dyDescent="0.3">
      <c r="A18" s="99" t="s">
        <v>46</v>
      </c>
      <c r="B18" s="65">
        <f>'Leverge Ratios'!B18</f>
        <v>0</v>
      </c>
      <c r="C18" s="65">
        <f>'Leverge Ratios'!C18</f>
        <v>0</v>
      </c>
      <c r="D18" s="99" t="s">
        <v>46</v>
      </c>
      <c r="E18" s="9">
        <f>'Balance Sheet'!B19/'Balance Sheet'!B23</f>
        <v>0.61897875764590637</v>
      </c>
      <c r="F18" s="9">
        <f>'Balance Sheet'!C19/'Balance Sheet'!C23</f>
        <v>0.48726663533041664</v>
      </c>
    </row>
    <row r="19" spans="1:6" ht="15.75" thickBot="1" x14ac:dyDescent="0.3">
      <c r="A19" s="17" t="s">
        <v>47</v>
      </c>
      <c r="B19" s="61"/>
      <c r="C19" s="61"/>
      <c r="D19" s="17" t="s">
        <v>47</v>
      </c>
      <c r="E19" s="17"/>
      <c r="F19" s="17"/>
    </row>
    <row r="20" spans="1:6" x14ac:dyDescent="0.25">
      <c r="A20" s="7" t="s">
        <v>48</v>
      </c>
      <c r="B20" s="59"/>
      <c r="C20" s="59"/>
      <c r="D20" s="7" t="s">
        <v>48</v>
      </c>
      <c r="E20" s="26">
        <f>'Income Statement'!B11/'Income Statement'!B12</f>
        <v>1.9697368421052632</v>
      </c>
      <c r="F20" s="26">
        <f>'Income Statement'!C11/'Income Statement'!C12</f>
        <v>3.3456000000000001</v>
      </c>
    </row>
    <row r="21" spans="1:6" x14ac:dyDescent="0.25">
      <c r="A21" s="7" t="s">
        <v>49</v>
      </c>
      <c r="B21" s="59"/>
      <c r="C21" s="59"/>
      <c r="D21" s="7" t="s">
        <v>49</v>
      </c>
      <c r="E21" s="26">
        <f>('Income Statement'!B11+'Income Statement'!B10)/'Income Statement'!B12</f>
        <v>2.232894736842105</v>
      </c>
      <c r="F21" s="26">
        <f>('Income Statement'!C11+'Income Statement'!C10)/'Income Statement'!C12</f>
        <v>3.6480000000000001</v>
      </c>
    </row>
  </sheetData>
  <printOptions gridLines="1" gridLinesSet="0"/>
  <pageMargins left="0.25" right="0.2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ySplit="3" topLeftCell="A8" activePane="bottomLeft" state="frozen"/>
      <selection pane="bottomLeft" activeCell="E3" sqref="E3:F3"/>
    </sheetView>
  </sheetViews>
  <sheetFormatPr defaultRowHeight="15" x14ac:dyDescent="0.25"/>
  <cols>
    <col min="1" max="1" width="24.140625" customWidth="1"/>
    <col min="2" max="3" width="10" bestFit="1" customWidth="1"/>
    <col min="4" max="4" width="24.140625" customWidth="1"/>
    <col min="5" max="6" width="10"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f>'Coverage Ratios'!B5</f>
        <v>0</v>
      </c>
      <c r="C5" s="59">
        <f>'Coverage Ratios'!C5</f>
        <v>0</v>
      </c>
      <c r="D5" s="7" t="s">
        <v>72</v>
      </c>
      <c r="E5" s="26">
        <f>'Balance Sheet'!B9/'Balance Sheet'!B18</f>
        <v>2.3880044427989633</v>
      </c>
      <c r="F5" s="27">
        <f>'Balance Sheet'!C9/'Balance Sheet'!C18</f>
        <v>2.3338870431893688</v>
      </c>
    </row>
    <row r="6" spans="1:6" ht="15.75" thickBot="1" x14ac:dyDescent="0.3">
      <c r="A6" s="12" t="s">
        <v>73</v>
      </c>
      <c r="B6" s="60">
        <f>'Coverage Ratios'!B6</f>
        <v>0</v>
      </c>
      <c r="C6" s="59">
        <f>'Coverage Ratios'!C6</f>
        <v>0</v>
      </c>
      <c r="D6" s="12" t="s">
        <v>73</v>
      </c>
      <c r="E6" s="27">
        <f>('Balance Sheet'!B9-'Balance Sheet'!B8)/'Balance Sheet'!B18</f>
        <v>0.84042947056645689</v>
      </c>
      <c r="F6" s="27">
        <f>('Balance Sheet'!C9-'Balance Sheet'!C8)/'Balance Sheet'!C18</f>
        <v>0.84883720930232553</v>
      </c>
    </row>
    <row r="7" spans="1:6" ht="15.75" thickBot="1" x14ac:dyDescent="0.3">
      <c r="A7" s="17" t="s">
        <v>35</v>
      </c>
      <c r="B7" s="61"/>
      <c r="C7" s="61"/>
      <c r="D7" s="17" t="s">
        <v>35</v>
      </c>
      <c r="E7" s="17"/>
      <c r="F7" s="17"/>
    </row>
    <row r="8" spans="1:6" x14ac:dyDescent="0.25">
      <c r="A8" s="7" t="s">
        <v>36</v>
      </c>
      <c r="B8" s="59">
        <f>'Coverage Ratios'!B8</f>
        <v>0</v>
      </c>
      <c r="C8" s="59">
        <f>'Coverage Ratios'!C8</f>
        <v>0</v>
      </c>
      <c r="D8" s="7" t="s">
        <v>36</v>
      </c>
      <c r="E8" s="26">
        <f>'Income Statement'!B6/'Balance Sheet'!B8</f>
        <v>3.8875598086124401</v>
      </c>
      <c r="F8" s="26">
        <f>'Income Statement'!C6/'Balance Sheet'!C8</f>
        <v>4.0044742729306488</v>
      </c>
    </row>
    <row r="9" spans="1:6" x14ac:dyDescent="0.25">
      <c r="A9" s="7" t="s">
        <v>37</v>
      </c>
      <c r="B9" s="59">
        <f>'Coverage Ratios'!B9</f>
        <v>0</v>
      </c>
      <c r="C9" s="59">
        <f>'Coverage Ratios'!C9</f>
        <v>0</v>
      </c>
      <c r="D9" s="7" t="s">
        <v>37</v>
      </c>
      <c r="E9" s="26">
        <f>'Income Statement'!B5/'Balance Sheet'!B7</f>
        <v>9.5771144278606961</v>
      </c>
      <c r="F9" s="26">
        <f>'Income Statement'!C5/'Balance Sheet'!C7</f>
        <v>9.7722095671981783</v>
      </c>
    </row>
    <row r="10" spans="1:6" x14ac:dyDescent="0.25">
      <c r="A10" s="99" t="s">
        <v>38</v>
      </c>
      <c r="B10" s="62">
        <f>'Coverage Ratios'!B10</f>
        <v>0</v>
      </c>
      <c r="C10" s="62">
        <f>'Coverage Ratios'!C10</f>
        <v>0</v>
      </c>
      <c r="D10" s="99" t="s">
        <v>38</v>
      </c>
      <c r="E10" s="32">
        <f>'Balance Sheet'!B7/('Income Statement'!B5/360)</f>
        <v>37.589610389610385</v>
      </c>
      <c r="F10" s="32">
        <f>'Balance Sheet'!C7/('Income Statement'!C5/360)</f>
        <v>36.83916083916084</v>
      </c>
    </row>
    <row r="11" spans="1:6" x14ac:dyDescent="0.25">
      <c r="A11" s="7" t="s">
        <v>39</v>
      </c>
      <c r="B11" s="59">
        <f>'Coverage Ratios'!B11</f>
        <v>0</v>
      </c>
      <c r="C11" s="59">
        <f>'Coverage Ratios'!C11</f>
        <v>0</v>
      </c>
      <c r="D11" s="7" t="s">
        <v>39</v>
      </c>
      <c r="E11" s="26">
        <f>'Income Statement'!B5/'Balance Sheet'!B12</f>
        <v>10.670731707317072</v>
      </c>
      <c r="F11" s="26">
        <f>'Income Statement'!C5/'Balance Sheet'!C12</f>
        <v>9.9535962877030162</v>
      </c>
    </row>
    <row r="12" spans="1:6" ht="15.75" thickBot="1" x14ac:dyDescent="0.3">
      <c r="A12" s="7" t="s">
        <v>40</v>
      </c>
      <c r="B12" s="59">
        <f>'Coverage Ratios'!B12</f>
        <v>0</v>
      </c>
      <c r="C12" s="59">
        <f>'Coverage Ratios'!C12</f>
        <v>0</v>
      </c>
      <c r="D12" s="7" t="s">
        <v>40</v>
      </c>
      <c r="E12" s="26">
        <f>'Income Statement'!B5/'Balance Sheet'!B13</f>
        <v>2.3322025684516596</v>
      </c>
      <c r="F12" s="26">
        <f>'Income Statement'!C5/'Balance Sheet'!C13</f>
        <v>2.3366013071895426</v>
      </c>
    </row>
    <row r="13" spans="1:6" ht="15.75" thickBot="1" x14ac:dyDescent="0.3">
      <c r="A13" s="17" t="s">
        <v>41</v>
      </c>
      <c r="B13" s="61"/>
      <c r="C13" s="61"/>
      <c r="D13" s="17" t="s">
        <v>41</v>
      </c>
      <c r="E13" s="17"/>
      <c r="F13" s="17"/>
    </row>
    <row r="14" spans="1:6" x14ac:dyDescent="0.25">
      <c r="A14" s="99" t="s">
        <v>42</v>
      </c>
      <c r="B14" s="63">
        <f>'Coverage Ratios'!B14</f>
        <v>0</v>
      </c>
      <c r="C14" s="63">
        <f>'Coverage Ratios'!C14</f>
        <v>0</v>
      </c>
      <c r="D14" s="99" t="s">
        <v>42</v>
      </c>
      <c r="E14" s="8">
        <f>'Balance Sheet'!B20/'Balance Sheet'!B13</f>
        <v>0.58445117518778777</v>
      </c>
      <c r="F14" s="8">
        <f>'Balance Sheet'!C20/'Balance Sheet'!C13</f>
        <v>0.54808823529411765</v>
      </c>
    </row>
    <row r="15" spans="1:6" x14ac:dyDescent="0.25">
      <c r="A15" s="99" t="s">
        <v>43</v>
      </c>
      <c r="B15" s="63">
        <f>'Coverage Ratios'!B15</f>
        <v>0</v>
      </c>
      <c r="C15" s="63">
        <f>'Coverage Ratios'!C15</f>
        <v>0</v>
      </c>
      <c r="D15" s="99" t="s">
        <v>43</v>
      </c>
      <c r="E15" s="8">
        <f>'Balance Sheet'!B19/'Balance Sheet'!B13</f>
        <v>0.25721589532347955</v>
      </c>
      <c r="F15" s="8">
        <f>'Balance Sheet'!C19/'Balance Sheet'!C13</f>
        <v>0.22020152505446622</v>
      </c>
    </row>
    <row r="16" spans="1:6" x14ac:dyDescent="0.25">
      <c r="A16" s="99" t="s">
        <v>44</v>
      </c>
      <c r="B16" s="63">
        <f>'Coverage Ratios'!B16</f>
        <v>0</v>
      </c>
      <c r="C16" s="63">
        <f>'Coverage Ratios'!C16</f>
        <v>0</v>
      </c>
      <c r="D16" s="99" t="s">
        <v>44</v>
      </c>
      <c r="E16" s="8">
        <f>'Balance Sheet'!B19/('Balance Sheet'!B23+'Balance Sheet'!B19)</f>
        <v>0.38232667026832345</v>
      </c>
      <c r="F16" s="8">
        <f>'Balance Sheet'!C19/('Balance Sheet'!C23+'Balance Sheet'!C19)</f>
        <v>0.32762560777957861</v>
      </c>
    </row>
    <row r="17" spans="1:6" x14ac:dyDescent="0.25">
      <c r="A17" s="99" t="s">
        <v>45</v>
      </c>
      <c r="B17" s="64">
        <f>'Coverage Ratios'!B17</f>
        <v>0</v>
      </c>
      <c r="C17" s="64">
        <f>'Coverage Ratios'!C17</f>
        <v>0</v>
      </c>
      <c r="D17" s="99" t="s">
        <v>45</v>
      </c>
      <c r="E17" s="28">
        <f>'Balance Sheet'!B20/'Balance Sheet'!B23</f>
        <v>1.4064560896108971</v>
      </c>
      <c r="F17" s="28">
        <f>'Balance Sheet'!C20/'Balance Sheet'!C23</f>
        <v>1.2128213472177025</v>
      </c>
    </row>
    <row r="18" spans="1:6" ht="15.75" thickBot="1" x14ac:dyDescent="0.3">
      <c r="A18" s="99" t="s">
        <v>46</v>
      </c>
      <c r="B18" s="65">
        <f>'Coverage Ratios'!B18</f>
        <v>0</v>
      </c>
      <c r="C18" s="65">
        <f>'Coverage Ratios'!C18</f>
        <v>0</v>
      </c>
      <c r="D18" s="99" t="s">
        <v>46</v>
      </c>
      <c r="E18" s="9">
        <f>'Balance Sheet'!B19/'Balance Sheet'!B23</f>
        <v>0.61897875764590637</v>
      </c>
      <c r="F18" s="9">
        <f>'Balance Sheet'!C19/'Balance Sheet'!C23</f>
        <v>0.48726663533041664</v>
      </c>
    </row>
    <row r="19" spans="1:6" ht="15.75" thickBot="1" x14ac:dyDescent="0.3">
      <c r="A19" s="17" t="s">
        <v>47</v>
      </c>
      <c r="B19" s="61"/>
      <c r="C19" s="61"/>
      <c r="D19" s="17" t="s">
        <v>47</v>
      </c>
      <c r="E19" s="17"/>
      <c r="F19" s="17"/>
    </row>
    <row r="20" spans="1:6" x14ac:dyDescent="0.25">
      <c r="A20" s="7" t="s">
        <v>48</v>
      </c>
      <c r="B20" s="59">
        <f>'Coverage Ratios'!B20</f>
        <v>0</v>
      </c>
      <c r="C20" s="59">
        <f>'Coverage Ratios'!C20</f>
        <v>0</v>
      </c>
      <c r="D20" s="7" t="s">
        <v>48</v>
      </c>
      <c r="E20" s="26">
        <f>'Income Statement'!B11/'Income Statement'!B12</f>
        <v>1.9697368421052632</v>
      </c>
      <c r="F20" s="26">
        <f>'Income Statement'!C11/'Income Statement'!C12</f>
        <v>3.3456000000000001</v>
      </c>
    </row>
    <row r="21" spans="1:6" ht="15.75" thickBot="1" x14ac:dyDescent="0.3">
      <c r="A21" s="7" t="s">
        <v>49</v>
      </c>
      <c r="B21" s="59">
        <f>'Coverage Ratios'!B21</f>
        <v>0</v>
      </c>
      <c r="C21" s="59">
        <f>'Coverage Ratios'!C21</f>
        <v>0</v>
      </c>
      <c r="D21" s="7" t="s">
        <v>49</v>
      </c>
      <c r="E21" s="26">
        <f>('Income Statement'!B11+'Income Statement'!B10)/'Income Statement'!B12</f>
        <v>2.232894736842105</v>
      </c>
      <c r="F21" s="26">
        <f>('Income Statement'!C11+'Income Statement'!C10)/'Income Statement'!C12</f>
        <v>3.6480000000000001</v>
      </c>
    </row>
    <row r="22" spans="1:6" ht="15.75" thickBot="1" x14ac:dyDescent="0.3">
      <c r="A22" s="17" t="s">
        <v>50</v>
      </c>
      <c r="B22" s="61"/>
      <c r="C22" s="61"/>
      <c r="D22" s="17" t="s">
        <v>50</v>
      </c>
      <c r="E22" s="17"/>
      <c r="F22" s="17"/>
    </row>
    <row r="23" spans="1:6" x14ac:dyDescent="0.25">
      <c r="A23" s="7" t="s">
        <v>51</v>
      </c>
      <c r="B23" s="65"/>
      <c r="C23" s="65"/>
      <c r="D23" s="7" t="s">
        <v>51</v>
      </c>
      <c r="E23" s="9">
        <f>'Income Statement'!B7/'Income Statement'!B5</f>
        <v>0.15584415584415584</v>
      </c>
      <c r="F23" s="9">
        <f>'Income Statement'!C7/'Income Statement'!C5</f>
        <v>0.1655011655011655</v>
      </c>
    </row>
    <row r="24" spans="1:6" x14ac:dyDescent="0.25">
      <c r="A24" s="7" t="s">
        <v>52</v>
      </c>
      <c r="B24" s="65"/>
      <c r="C24" s="65"/>
      <c r="D24" s="7" t="s">
        <v>52</v>
      </c>
      <c r="E24" s="9">
        <f>'Income Statement'!B11/'Income Statement'!B5</f>
        <v>3.8883116883116881E-2</v>
      </c>
      <c r="F24" s="9">
        <f>'Income Statement'!C11/'Income Statement'!C5</f>
        <v>6.0926573426573427E-2</v>
      </c>
    </row>
    <row r="25" spans="1:6" x14ac:dyDescent="0.25">
      <c r="A25" s="7" t="s">
        <v>53</v>
      </c>
      <c r="B25" s="63"/>
      <c r="C25" s="63"/>
      <c r="D25" s="7" t="s">
        <v>53</v>
      </c>
      <c r="E25" s="8">
        <f>'Income Statement'!B15/'Income Statement'!B5</f>
        <v>1.1485714285714285E-2</v>
      </c>
      <c r="F25" s="8">
        <f>'Income Statement'!C15/'Income Statement'!C5</f>
        <v>2.5629370629370631E-2</v>
      </c>
    </row>
    <row r="26" spans="1:6" x14ac:dyDescent="0.25">
      <c r="A26" s="7" t="s">
        <v>54</v>
      </c>
      <c r="B26" s="63"/>
      <c r="C26" s="63"/>
      <c r="D26" s="7" t="s">
        <v>54</v>
      </c>
      <c r="E26" s="8">
        <f>'Income Statement'!B15/'Balance Sheet'!B13</f>
        <v>2.6787012357644777E-2</v>
      </c>
      <c r="F26" s="8">
        <f>'Income Statement'!C15/'Balance Sheet'!C13</f>
        <v>5.9885620915032682E-2</v>
      </c>
    </row>
    <row r="27" spans="1:6" x14ac:dyDescent="0.25">
      <c r="A27" s="10" t="s">
        <v>55</v>
      </c>
      <c r="B27" s="66"/>
      <c r="C27" s="66"/>
      <c r="D27" s="10" t="s">
        <v>55</v>
      </c>
      <c r="E27" s="20">
        <f>'Income Statement'!B15/'Balance Sheet'!B23</f>
        <v>6.4461769010536629E-2</v>
      </c>
      <c r="F27" s="20">
        <f>'Income Statement'!C15/'Balance Sheet'!C23</f>
        <v>0.13251618035217125</v>
      </c>
    </row>
    <row r="28" spans="1:6" ht="15.75" thickBot="1" x14ac:dyDescent="0.3">
      <c r="A28" s="19" t="s">
        <v>56</v>
      </c>
      <c r="B28" s="67"/>
      <c r="C28" s="67"/>
      <c r="D28" s="19" t="s">
        <v>56</v>
      </c>
      <c r="E28" s="21">
        <f>'Income Statement'!B15/'Balance Sheet'!B23</f>
        <v>6.4461769010536629E-2</v>
      </c>
      <c r="F28" s="21">
        <f>'Income Statement'!C15/'Balance Sheet'!C23</f>
        <v>0.13251618035217125</v>
      </c>
    </row>
  </sheetData>
  <printOptions gridLines="1" gridLinesSet="0"/>
  <pageMargins left="0.25" right="0.2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ySplit="3" topLeftCell="A26" activePane="bottomLeft" state="frozen"/>
      <selection pane="bottomLeft" activeCell="D1" sqref="D1:D1048576"/>
    </sheetView>
  </sheetViews>
  <sheetFormatPr defaultRowHeight="15" x14ac:dyDescent="0.25"/>
  <cols>
    <col min="1" max="1" width="25" customWidth="1"/>
    <col min="2" max="2" width="11.7109375" bestFit="1" customWidth="1"/>
    <col min="3" max="3" width="13.28515625" bestFit="1" customWidth="1"/>
    <col min="4" max="4" width="25.28515625" customWidth="1"/>
    <col min="5" max="5" width="11.7109375" bestFit="1" customWidth="1"/>
    <col min="6" max="6" width="13.28515625" bestFit="1" customWidth="1"/>
  </cols>
  <sheetData>
    <row r="1" spans="1:6" x14ac:dyDescent="0.25">
      <c r="A1" s="46" t="s">
        <v>0</v>
      </c>
      <c r="B1" s="46"/>
      <c r="C1" s="46"/>
      <c r="D1" s="46" t="str">
        <f>'Income Statement'!A1</f>
        <v>Elvis Products International</v>
      </c>
      <c r="E1" s="46"/>
      <c r="F1" s="46"/>
    </row>
    <row r="2" spans="1:6" x14ac:dyDescent="0.25">
      <c r="A2" s="46" t="s">
        <v>74</v>
      </c>
      <c r="B2" s="46"/>
      <c r="C2" s="46"/>
      <c r="D2" s="46" t="str">
        <f>"Ratio Analysis for "&amp;TEXT(F3,"####")&amp;" and "&amp;TEXT(E3,"####")</f>
        <v>Ratio Analysis for 2008 and 2009</v>
      </c>
      <c r="E2" s="46"/>
      <c r="F2" s="46"/>
    </row>
    <row r="3" spans="1:6" s="22" customFormat="1" ht="29.85" customHeight="1" thickBot="1" x14ac:dyDescent="0.3">
      <c r="A3" s="52" t="s">
        <v>33</v>
      </c>
      <c r="B3" s="53">
        <f>'Income Statement'!B4</f>
        <v>2009</v>
      </c>
      <c r="C3" s="53">
        <f>'Income Statement'!C4</f>
        <v>2008</v>
      </c>
      <c r="D3" s="52" t="s">
        <v>33</v>
      </c>
      <c r="E3" s="53">
        <f>'Income Statement'!B4</f>
        <v>2009</v>
      </c>
      <c r="F3" s="53">
        <f>'Income Statement'!C4</f>
        <v>2008</v>
      </c>
    </row>
    <row r="4" spans="1:6" ht="15.75" thickBot="1" x14ac:dyDescent="0.3">
      <c r="A4" s="17" t="s">
        <v>34</v>
      </c>
      <c r="B4" s="17"/>
      <c r="C4" s="17"/>
      <c r="D4" s="17" t="s">
        <v>34</v>
      </c>
      <c r="E4" s="17"/>
      <c r="F4" s="17"/>
    </row>
    <row r="5" spans="1:6" x14ac:dyDescent="0.25">
      <c r="A5" s="7" t="s">
        <v>72</v>
      </c>
      <c r="B5" s="59">
        <f>'Profitability Ratios'!B5</f>
        <v>0</v>
      </c>
      <c r="C5" s="59">
        <f>'Profitability Ratios'!C5</f>
        <v>0</v>
      </c>
      <c r="D5" s="7" t="s">
        <v>72</v>
      </c>
      <c r="E5" s="26">
        <f>'Balance Sheet'!B9/'Balance Sheet'!B18</f>
        <v>2.3880044427989633</v>
      </c>
      <c r="F5" s="27">
        <f>'Balance Sheet'!C9/'Balance Sheet'!C18</f>
        <v>2.3338870431893688</v>
      </c>
    </row>
    <row r="6" spans="1:6" ht="15.75" thickBot="1" x14ac:dyDescent="0.3">
      <c r="A6" s="12" t="s">
        <v>73</v>
      </c>
      <c r="B6" s="60">
        <f>'Profitability Ratios'!B6</f>
        <v>0</v>
      </c>
      <c r="C6" s="59">
        <f>'Profitability Ratios'!C6</f>
        <v>0</v>
      </c>
      <c r="D6" s="12" t="s">
        <v>73</v>
      </c>
      <c r="E6" s="27">
        <f>('Balance Sheet'!B9-'Balance Sheet'!B8)/'Balance Sheet'!B18</f>
        <v>0.84042947056645689</v>
      </c>
      <c r="F6" s="27">
        <f>('Balance Sheet'!C9-'Balance Sheet'!C8)/'Balance Sheet'!C18</f>
        <v>0.84883720930232553</v>
      </c>
    </row>
    <row r="7" spans="1:6" ht="15.75" thickBot="1" x14ac:dyDescent="0.3">
      <c r="A7" s="17" t="s">
        <v>35</v>
      </c>
      <c r="B7" s="61"/>
      <c r="C7" s="61"/>
      <c r="D7" s="17" t="s">
        <v>35</v>
      </c>
      <c r="E7" s="17"/>
      <c r="F7" s="17"/>
    </row>
    <row r="8" spans="1:6" x14ac:dyDescent="0.25">
      <c r="A8" s="7" t="s">
        <v>36</v>
      </c>
      <c r="B8" s="59">
        <f>'Profitability Ratios'!B8</f>
        <v>0</v>
      </c>
      <c r="C8" s="59">
        <f>'Profitability Ratios'!C8</f>
        <v>0</v>
      </c>
      <c r="D8" s="7" t="s">
        <v>36</v>
      </c>
      <c r="E8" s="26">
        <f>'Income Statement'!B6/'Balance Sheet'!B8</f>
        <v>3.8875598086124401</v>
      </c>
      <c r="F8" s="26">
        <f>'Income Statement'!C6/'Balance Sheet'!C8</f>
        <v>4.0044742729306488</v>
      </c>
    </row>
    <row r="9" spans="1:6" x14ac:dyDescent="0.25">
      <c r="A9" s="7" t="s">
        <v>37</v>
      </c>
      <c r="B9" s="59">
        <f>'Profitability Ratios'!B9</f>
        <v>0</v>
      </c>
      <c r="C9" s="59">
        <f>'Profitability Ratios'!C9</f>
        <v>0</v>
      </c>
      <c r="D9" s="7" t="s">
        <v>37</v>
      </c>
      <c r="E9" s="26">
        <f>'Income Statement'!B5/'Balance Sheet'!B7</f>
        <v>9.5771144278606961</v>
      </c>
      <c r="F9" s="26">
        <f>'Income Statement'!C5/'Balance Sheet'!C7</f>
        <v>9.7722095671981783</v>
      </c>
    </row>
    <row r="10" spans="1:6" x14ac:dyDescent="0.25">
      <c r="A10" s="99" t="s">
        <v>38</v>
      </c>
      <c r="B10" s="62">
        <f>'Profitability Ratios'!B10</f>
        <v>0</v>
      </c>
      <c r="C10" s="62">
        <f>'Profitability Ratios'!C10</f>
        <v>0</v>
      </c>
      <c r="D10" s="99" t="s">
        <v>38</v>
      </c>
      <c r="E10" s="32">
        <f>'Balance Sheet'!B7/('Income Statement'!B5/360)</f>
        <v>37.589610389610385</v>
      </c>
      <c r="F10" s="32">
        <f>'Balance Sheet'!C7/('Income Statement'!C5/360)</f>
        <v>36.83916083916084</v>
      </c>
    </row>
    <row r="11" spans="1:6" x14ac:dyDescent="0.25">
      <c r="A11" s="7" t="s">
        <v>39</v>
      </c>
      <c r="B11" s="59">
        <f>'Profitability Ratios'!B11</f>
        <v>0</v>
      </c>
      <c r="C11" s="59">
        <f>'Profitability Ratios'!C11</f>
        <v>0</v>
      </c>
      <c r="D11" s="7" t="s">
        <v>39</v>
      </c>
      <c r="E11" s="26">
        <f>'Income Statement'!B5/'Balance Sheet'!B12</f>
        <v>10.670731707317072</v>
      </c>
      <c r="F11" s="26">
        <f>'Income Statement'!C5/'Balance Sheet'!C12</f>
        <v>9.9535962877030162</v>
      </c>
    </row>
    <row r="12" spans="1:6" ht="15.75" thickBot="1" x14ac:dyDescent="0.3">
      <c r="A12" s="7" t="s">
        <v>40</v>
      </c>
      <c r="B12" s="59">
        <f>'Profitability Ratios'!B12</f>
        <v>0</v>
      </c>
      <c r="C12" s="59">
        <f>'Profitability Ratios'!C12</f>
        <v>0</v>
      </c>
      <c r="D12" s="7" t="s">
        <v>40</v>
      </c>
      <c r="E12" s="26">
        <f>'Income Statement'!B5/'Balance Sheet'!B13</f>
        <v>2.3322025684516596</v>
      </c>
      <c r="F12" s="26">
        <f>'Income Statement'!C5/'Balance Sheet'!C13</f>
        <v>2.3366013071895426</v>
      </c>
    </row>
    <row r="13" spans="1:6" ht="15.75" thickBot="1" x14ac:dyDescent="0.3">
      <c r="A13" s="17" t="s">
        <v>41</v>
      </c>
      <c r="B13" s="61"/>
      <c r="C13" s="61"/>
      <c r="D13" s="17" t="s">
        <v>41</v>
      </c>
      <c r="E13" s="17"/>
      <c r="F13" s="17"/>
    </row>
    <row r="14" spans="1:6" x14ac:dyDescent="0.25">
      <c r="A14" s="99" t="s">
        <v>42</v>
      </c>
      <c r="B14" s="63">
        <f>'Profitability Ratios'!B14</f>
        <v>0</v>
      </c>
      <c r="C14" s="63">
        <f>'Profitability Ratios'!C14</f>
        <v>0</v>
      </c>
      <c r="D14" s="99" t="s">
        <v>42</v>
      </c>
      <c r="E14" s="8">
        <f>'Balance Sheet'!B20/'Balance Sheet'!B13</f>
        <v>0.58445117518778777</v>
      </c>
      <c r="F14" s="8">
        <f>'Balance Sheet'!C20/'Balance Sheet'!C13</f>
        <v>0.54808823529411765</v>
      </c>
    </row>
    <row r="15" spans="1:6" x14ac:dyDescent="0.25">
      <c r="A15" s="99" t="s">
        <v>43</v>
      </c>
      <c r="B15" s="63">
        <f>'Profitability Ratios'!B15</f>
        <v>0</v>
      </c>
      <c r="C15" s="63">
        <f>'Profitability Ratios'!C15</f>
        <v>0</v>
      </c>
      <c r="D15" s="99" t="s">
        <v>43</v>
      </c>
      <c r="E15" s="8">
        <f>'Balance Sheet'!B19/'Balance Sheet'!B13</f>
        <v>0.25721589532347955</v>
      </c>
      <c r="F15" s="8">
        <f>'Balance Sheet'!C19/'Balance Sheet'!C13</f>
        <v>0.22020152505446622</v>
      </c>
    </row>
    <row r="16" spans="1:6" x14ac:dyDescent="0.25">
      <c r="A16" s="99" t="s">
        <v>44</v>
      </c>
      <c r="B16" s="63">
        <f>'Profitability Ratios'!B16</f>
        <v>0</v>
      </c>
      <c r="C16" s="63">
        <f>'Profitability Ratios'!C16</f>
        <v>0</v>
      </c>
      <c r="D16" s="99" t="s">
        <v>44</v>
      </c>
      <c r="E16" s="8">
        <f>'Balance Sheet'!B19/('Balance Sheet'!B23+'Balance Sheet'!B19)</f>
        <v>0.38232667026832345</v>
      </c>
      <c r="F16" s="8">
        <f>'Balance Sheet'!C19/('Balance Sheet'!C23+'Balance Sheet'!C19)</f>
        <v>0.32762560777957861</v>
      </c>
    </row>
    <row r="17" spans="1:6" x14ac:dyDescent="0.25">
      <c r="A17" s="99" t="s">
        <v>45</v>
      </c>
      <c r="B17" s="64">
        <f>'Profitability Ratios'!B17</f>
        <v>0</v>
      </c>
      <c r="C17" s="64">
        <f>'Profitability Ratios'!C17</f>
        <v>0</v>
      </c>
      <c r="D17" s="99" t="s">
        <v>45</v>
      </c>
      <c r="E17" s="28">
        <f>'Balance Sheet'!B20/'Balance Sheet'!B23</f>
        <v>1.4064560896108971</v>
      </c>
      <c r="F17" s="28">
        <f>'Balance Sheet'!C20/'Balance Sheet'!C23</f>
        <v>1.2128213472177025</v>
      </c>
    </row>
    <row r="18" spans="1:6" ht="15.75" thickBot="1" x14ac:dyDescent="0.3">
      <c r="A18" s="99" t="s">
        <v>46</v>
      </c>
      <c r="B18" s="65">
        <f>'Profitability Ratios'!B18</f>
        <v>0</v>
      </c>
      <c r="C18" s="65">
        <f>'Profitability Ratios'!C18</f>
        <v>0</v>
      </c>
      <c r="D18" s="99" t="s">
        <v>46</v>
      </c>
      <c r="E18" s="9">
        <f>'Balance Sheet'!B19/'Balance Sheet'!B23</f>
        <v>0.61897875764590637</v>
      </c>
      <c r="F18" s="9">
        <f>'Balance Sheet'!C19/'Balance Sheet'!C23</f>
        <v>0.48726663533041664</v>
      </c>
    </row>
    <row r="19" spans="1:6" ht="15.75" thickBot="1" x14ac:dyDescent="0.3">
      <c r="A19" s="17" t="s">
        <v>47</v>
      </c>
      <c r="B19" s="61"/>
      <c r="C19" s="61"/>
      <c r="D19" s="17" t="s">
        <v>47</v>
      </c>
      <c r="E19" s="17"/>
      <c r="F19" s="17"/>
    </row>
    <row r="20" spans="1:6" x14ac:dyDescent="0.25">
      <c r="A20" s="7" t="s">
        <v>48</v>
      </c>
      <c r="B20" s="59">
        <f>'Profitability Ratios'!B20</f>
        <v>0</v>
      </c>
      <c r="C20" s="59">
        <f>'Profitability Ratios'!C20</f>
        <v>0</v>
      </c>
      <c r="D20" s="7" t="s">
        <v>48</v>
      </c>
      <c r="E20" s="26">
        <f>'Income Statement'!B11/'Income Statement'!B12</f>
        <v>1.9697368421052632</v>
      </c>
      <c r="F20" s="26">
        <f>'Income Statement'!C11/'Income Statement'!C12</f>
        <v>3.3456000000000001</v>
      </c>
    </row>
    <row r="21" spans="1:6" ht="15.75" thickBot="1" x14ac:dyDescent="0.3">
      <c r="A21" s="7" t="s">
        <v>49</v>
      </c>
      <c r="B21" s="59">
        <f>'Profitability Ratios'!B21</f>
        <v>0</v>
      </c>
      <c r="C21" s="59">
        <f>'Profitability Ratios'!C21</f>
        <v>0</v>
      </c>
      <c r="D21" s="7" t="s">
        <v>49</v>
      </c>
      <c r="E21" s="26">
        <f>('Income Statement'!B11+'Income Statement'!B10)/'Income Statement'!B12</f>
        <v>2.232894736842105</v>
      </c>
      <c r="F21" s="26">
        <f>('Income Statement'!C11+'Income Statement'!C10)/'Income Statement'!C12</f>
        <v>3.6480000000000001</v>
      </c>
    </row>
    <row r="22" spans="1:6" ht="15.75" thickBot="1" x14ac:dyDescent="0.3">
      <c r="A22" s="17" t="s">
        <v>50</v>
      </c>
      <c r="B22" s="61"/>
      <c r="C22" s="61"/>
      <c r="D22" s="17" t="s">
        <v>50</v>
      </c>
      <c r="E22" s="17"/>
      <c r="F22" s="17"/>
    </row>
    <row r="23" spans="1:6" x14ac:dyDescent="0.25">
      <c r="A23" s="7" t="s">
        <v>51</v>
      </c>
      <c r="B23" s="65">
        <f>'Profitability Ratios'!B23</f>
        <v>0</v>
      </c>
      <c r="C23" s="65">
        <f>'Profitability Ratios'!C23</f>
        <v>0</v>
      </c>
      <c r="D23" s="7" t="s">
        <v>51</v>
      </c>
      <c r="E23" s="9">
        <f>'Income Statement'!B7/'Income Statement'!B5</f>
        <v>0.15584415584415584</v>
      </c>
      <c r="F23" s="9">
        <f>'Income Statement'!C7/'Income Statement'!C5</f>
        <v>0.1655011655011655</v>
      </c>
    </row>
    <row r="24" spans="1:6" x14ac:dyDescent="0.25">
      <c r="A24" s="7" t="s">
        <v>52</v>
      </c>
      <c r="B24" s="65">
        <f>'Profitability Ratios'!B24</f>
        <v>0</v>
      </c>
      <c r="C24" s="65">
        <f>'Profitability Ratios'!C24</f>
        <v>0</v>
      </c>
      <c r="D24" s="7" t="s">
        <v>52</v>
      </c>
      <c r="E24" s="9">
        <f>'Income Statement'!B11/'Income Statement'!B5</f>
        <v>3.8883116883116881E-2</v>
      </c>
      <c r="F24" s="9">
        <f>'Income Statement'!C11/'Income Statement'!C5</f>
        <v>6.0926573426573427E-2</v>
      </c>
    </row>
    <row r="25" spans="1:6" x14ac:dyDescent="0.25">
      <c r="A25" s="7" t="s">
        <v>53</v>
      </c>
      <c r="B25" s="63">
        <f>'Profitability Ratios'!B25</f>
        <v>0</v>
      </c>
      <c r="C25" s="63">
        <f>'Profitability Ratios'!C25</f>
        <v>0</v>
      </c>
      <c r="D25" s="7" t="s">
        <v>53</v>
      </c>
      <c r="E25" s="8">
        <f>'Income Statement'!B15/'Income Statement'!B5</f>
        <v>1.1485714285714285E-2</v>
      </c>
      <c r="F25" s="8">
        <f>'Income Statement'!C15/'Income Statement'!C5</f>
        <v>2.5629370629370631E-2</v>
      </c>
    </row>
    <row r="26" spans="1:6" x14ac:dyDescent="0.25">
      <c r="A26" s="7" t="s">
        <v>54</v>
      </c>
      <c r="B26" s="63">
        <f>'Profitability Ratios'!B26</f>
        <v>0</v>
      </c>
      <c r="C26" s="63">
        <f>'Profitability Ratios'!C26</f>
        <v>0</v>
      </c>
      <c r="D26" s="7" t="s">
        <v>54</v>
      </c>
      <c r="E26" s="8">
        <f>'Income Statement'!B15/'Balance Sheet'!B13</f>
        <v>2.6787012357644777E-2</v>
      </c>
      <c r="F26" s="8">
        <f>'Income Statement'!C15/'Balance Sheet'!C13</f>
        <v>5.9885620915032682E-2</v>
      </c>
    </row>
    <row r="27" spans="1:6" x14ac:dyDescent="0.25">
      <c r="A27" s="10" t="s">
        <v>55</v>
      </c>
      <c r="B27" s="66">
        <f>'Profitability Ratios'!B27</f>
        <v>0</v>
      </c>
      <c r="C27" s="66">
        <f>'Profitability Ratios'!C27</f>
        <v>0</v>
      </c>
      <c r="D27" s="10" t="s">
        <v>55</v>
      </c>
      <c r="E27" s="20">
        <f>'Income Statement'!B15/'Balance Sheet'!B23</f>
        <v>6.4461769010536629E-2</v>
      </c>
      <c r="F27" s="20">
        <f>'Income Statement'!C15/'Balance Sheet'!C23</f>
        <v>0.13251618035217125</v>
      </c>
    </row>
    <row r="28" spans="1:6" ht="15.75" thickBot="1" x14ac:dyDescent="0.3">
      <c r="A28" s="19" t="s">
        <v>56</v>
      </c>
      <c r="B28" s="67">
        <f>'Profitability Ratios'!B28</f>
        <v>0</v>
      </c>
      <c r="C28" s="67">
        <f>'Profitability Ratios'!C28</f>
        <v>0</v>
      </c>
      <c r="D28" s="19" t="s">
        <v>56</v>
      </c>
      <c r="E28" s="21">
        <f>'Income Statement'!B15/'Balance Sheet'!B23</f>
        <v>6.4461769010536629E-2</v>
      </c>
      <c r="F28" s="21">
        <f>'Income Statement'!C15/'Balance Sheet'!C23</f>
        <v>0.13251618035217125</v>
      </c>
    </row>
    <row r="29" spans="1:6" ht="15.75" thickBot="1" x14ac:dyDescent="0.3">
      <c r="A29" s="17" t="s">
        <v>75</v>
      </c>
      <c r="B29" s="61"/>
      <c r="C29" s="61"/>
      <c r="D29" s="17" t="s">
        <v>75</v>
      </c>
      <c r="E29" s="61"/>
      <c r="F29" s="61"/>
    </row>
    <row r="30" spans="1:6" x14ac:dyDescent="0.25">
      <c r="A30" s="7" t="s">
        <v>76</v>
      </c>
      <c r="B30" s="96"/>
      <c r="C30" s="96"/>
      <c r="D30" s="7" t="s">
        <v>76</v>
      </c>
      <c r="E30" s="68">
        <f>'MV Ratios'!E36/('Income Statement'!B15/'MV Ratios'!E35)</f>
        <v>20</v>
      </c>
      <c r="F30" s="68">
        <f>'MV Ratios'!F36/('Income Statement'!C15/'MV Ratios'!F35)</f>
        <v>20</v>
      </c>
    </row>
    <row r="31" spans="1:6" ht="42" customHeight="1" thickBot="1" x14ac:dyDescent="0.3">
      <c r="A31" s="176" t="s">
        <v>77</v>
      </c>
      <c r="B31" s="177"/>
      <c r="C31" s="177"/>
      <c r="D31" s="175" t="s">
        <v>77</v>
      </c>
      <c r="E31" s="178">
        <f>E37/'Balance Sheet'!B23</f>
        <v>1.2892353802107324</v>
      </c>
      <c r="F31" s="178">
        <f>F37/'Balance Sheet'!C23</f>
        <v>2.6503236070434251</v>
      </c>
    </row>
    <row r="34" spans="1:6" x14ac:dyDescent="0.25">
      <c r="A34" s="35" t="s">
        <v>68</v>
      </c>
      <c r="B34" s="174"/>
      <c r="C34" s="174"/>
      <c r="D34" s="35" t="s">
        <v>68</v>
      </c>
    </row>
    <row r="35" spans="1:6" x14ac:dyDescent="0.25">
      <c r="A35" s="174" t="s">
        <v>67</v>
      </c>
      <c r="B35" s="36">
        <v>100000</v>
      </c>
      <c r="C35" s="36">
        <v>100000</v>
      </c>
      <c r="D35" t="s">
        <v>67</v>
      </c>
      <c r="E35" s="36">
        <v>100000</v>
      </c>
      <c r="F35" s="36">
        <v>100000</v>
      </c>
    </row>
    <row r="36" spans="1:6" x14ac:dyDescent="0.25">
      <c r="A36" s="174" t="s">
        <v>69</v>
      </c>
      <c r="B36" s="38">
        <v>8.8439999999999994</v>
      </c>
      <c r="C36" s="38">
        <v>17.592000000000002</v>
      </c>
      <c r="D36" t="s">
        <v>69</v>
      </c>
      <c r="E36" s="38">
        <v>8.8439999999999994</v>
      </c>
      <c r="F36" s="38">
        <v>17.592000000000002</v>
      </c>
    </row>
    <row r="37" spans="1:6" x14ac:dyDescent="0.25">
      <c r="A37" s="81" t="s">
        <v>78</v>
      </c>
      <c r="B37" s="82"/>
      <c r="C37" s="82"/>
      <c r="D37" s="81" t="s">
        <v>78</v>
      </c>
      <c r="E37" s="82">
        <f>E35*E36</f>
        <v>884399.99999999988</v>
      </c>
      <c r="F37" s="82">
        <f>F35*F36</f>
        <v>1759200.0000000002</v>
      </c>
    </row>
  </sheetData>
  <printOptions gridLines="1" gridLinesSet="0"/>
  <pageMargins left="0.25" right="0.2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pane ySplit="3" topLeftCell="A27" activePane="bottomLeft" state="frozen"/>
      <selection pane="bottomLeft" activeCell="B45" sqref="B45"/>
    </sheetView>
  </sheetViews>
  <sheetFormatPr defaultRowHeight="15" x14ac:dyDescent="0.25"/>
  <cols>
    <col min="1" max="1" width="24.28515625" bestFit="1" customWidth="1"/>
    <col min="2" max="2" width="11.7109375" bestFit="1" customWidth="1"/>
    <col min="3" max="3" width="13.28515625" bestFit="1" customWidth="1"/>
    <col min="4" max="4" width="10" style="78" customWidth="1"/>
    <col min="5" max="5" width="24.140625" customWidth="1"/>
    <col min="6" max="6" width="11.7109375" bestFit="1" customWidth="1"/>
    <col min="7" max="7" width="13.28515625" bestFit="1" customWidth="1"/>
  </cols>
  <sheetData>
    <row r="1" spans="1:7" x14ac:dyDescent="0.25">
      <c r="A1" s="46" t="s">
        <v>0</v>
      </c>
      <c r="B1" s="46"/>
      <c r="C1" s="46"/>
      <c r="D1" s="70"/>
      <c r="E1" s="46" t="str">
        <f>'Income Statement'!A1</f>
        <v>Elvis Products International</v>
      </c>
      <c r="F1" s="46"/>
      <c r="G1" s="46"/>
    </row>
    <row r="2" spans="1:7" x14ac:dyDescent="0.25">
      <c r="A2" s="46" t="s">
        <v>74</v>
      </c>
      <c r="B2" s="46"/>
      <c r="C2" s="46"/>
      <c r="D2" s="70"/>
      <c r="E2" s="46" t="str">
        <f>"Ratio Analysis for "&amp;TEXT(G3,"####")&amp;" and "&amp;TEXT(F3,"####")</f>
        <v>Ratio Analysis for 2008 and 2009</v>
      </c>
      <c r="F2" s="46"/>
      <c r="G2" s="46"/>
    </row>
    <row r="3" spans="1:7" s="22" customFormat="1" ht="29.85" customHeight="1" thickBot="1" x14ac:dyDescent="0.3">
      <c r="A3" s="52" t="s">
        <v>33</v>
      </c>
      <c r="B3" s="53">
        <f>'Income Statement'!B4</f>
        <v>2009</v>
      </c>
      <c r="C3" s="53">
        <f>'Income Statement'!C4</f>
        <v>2008</v>
      </c>
      <c r="D3" s="71"/>
      <c r="E3" s="52" t="s">
        <v>33</v>
      </c>
      <c r="F3" s="53">
        <f>'Income Statement'!B4</f>
        <v>2009</v>
      </c>
      <c r="G3" s="53">
        <f>'Income Statement'!C4</f>
        <v>2008</v>
      </c>
    </row>
    <row r="4" spans="1:7" ht="15.75" thickBot="1" x14ac:dyDescent="0.3">
      <c r="A4" s="17" t="s">
        <v>34</v>
      </c>
      <c r="B4" s="17"/>
      <c r="C4" s="17"/>
      <c r="D4" s="72"/>
      <c r="E4" s="17" t="s">
        <v>34</v>
      </c>
      <c r="F4" s="17"/>
      <c r="G4" s="17"/>
    </row>
    <row r="5" spans="1:7" x14ac:dyDescent="0.25">
      <c r="A5" s="7" t="s">
        <v>72</v>
      </c>
      <c r="B5" s="59">
        <f>'MV Ratios'!B5</f>
        <v>0</v>
      </c>
      <c r="C5" s="59">
        <f>'MV Ratios'!C5</f>
        <v>0</v>
      </c>
      <c r="D5" s="73"/>
      <c r="E5" s="7" t="s">
        <v>72</v>
      </c>
      <c r="F5" s="26">
        <f>'Balance Sheet'!B9/'Balance Sheet'!B18</f>
        <v>2.3880044427989633</v>
      </c>
      <c r="G5" s="27">
        <f>'Balance Sheet'!C9/'Balance Sheet'!C18</f>
        <v>2.3338870431893688</v>
      </c>
    </row>
    <row r="6" spans="1:7" ht="15.75" thickBot="1" x14ac:dyDescent="0.3">
      <c r="A6" s="12" t="s">
        <v>73</v>
      </c>
      <c r="B6" s="60">
        <f>'MV Ratios'!B6</f>
        <v>0</v>
      </c>
      <c r="C6" s="59">
        <f>'MV Ratios'!C6</f>
        <v>0</v>
      </c>
      <c r="D6" s="73"/>
      <c r="E6" s="12" t="s">
        <v>73</v>
      </c>
      <c r="F6" s="27">
        <f>('Balance Sheet'!B9-'Balance Sheet'!B8)/'Balance Sheet'!B18</f>
        <v>0.84042947056645689</v>
      </c>
      <c r="G6" s="27">
        <f>('Balance Sheet'!C9-'Balance Sheet'!C8)/'Balance Sheet'!C18</f>
        <v>0.84883720930232553</v>
      </c>
    </row>
    <row r="7" spans="1:7" ht="15.75" thickBot="1" x14ac:dyDescent="0.3">
      <c r="A7" s="17" t="s">
        <v>35</v>
      </c>
      <c r="B7" s="61"/>
      <c r="C7" s="61"/>
      <c r="D7" s="74"/>
      <c r="E7" s="17" t="s">
        <v>35</v>
      </c>
      <c r="F7" s="17"/>
      <c r="G7" s="17"/>
    </row>
    <row r="8" spans="1:7" x14ac:dyDescent="0.25">
      <c r="A8" s="7" t="s">
        <v>36</v>
      </c>
      <c r="B8" s="59">
        <f>'MV Ratios'!B8</f>
        <v>0</v>
      </c>
      <c r="C8" s="59">
        <f>'MV Ratios'!C8</f>
        <v>0</v>
      </c>
      <c r="D8" s="73"/>
      <c r="E8" s="7" t="s">
        <v>36</v>
      </c>
      <c r="F8" s="26">
        <f>'Income Statement'!B6/'Balance Sheet'!B8</f>
        <v>3.8875598086124401</v>
      </c>
      <c r="G8" s="26">
        <f>'Income Statement'!C6/'Balance Sheet'!C8</f>
        <v>4.0044742729306488</v>
      </c>
    </row>
    <row r="9" spans="1:7" x14ac:dyDescent="0.25">
      <c r="A9" s="7" t="s">
        <v>37</v>
      </c>
      <c r="B9" s="59">
        <f>'MV Ratios'!B9</f>
        <v>0</v>
      </c>
      <c r="C9" s="59">
        <f>'MV Ratios'!C9</f>
        <v>0</v>
      </c>
      <c r="D9" s="73"/>
      <c r="E9" s="7" t="s">
        <v>37</v>
      </c>
      <c r="F9" s="26">
        <f>'Income Statement'!B5/'Balance Sheet'!B7</f>
        <v>9.5771144278606961</v>
      </c>
      <c r="G9" s="26">
        <f>'Income Statement'!C5/'Balance Sheet'!C7</f>
        <v>9.7722095671981783</v>
      </c>
    </row>
    <row r="10" spans="1:7" x14ac:dyDescent="0.25">
      <c r="A10" s="99" t="s">
        <v>38</v>
      </c>
      <c r="B10" s="62">
        <f>'MV Ratios'!B10</f>
        <v>0</v>
      </c>
      <c r="C10" s="62">
        <f>'MV Ratios'!C10</f>
        <v>0</v>
      </c>
      <c r="D10" s="75"/>
      <c r="E10" s="99" t="s">
        <v>38</v>
      </c>
      <c r="F10" s="32">
        <f>'Balance Sheet'!B7/('Income Statement'!B5/360)</f>
        <v>37.589610389610385</v>
      </c>
      <c r="G10" s="32">
        <f>'Balance Sheet'!C7/('Income Statement'!C5/360)</f>
        <v>36.83916083916084</v>
      </c>
    </row>
    <row r="11" spans="1:7" x14ac:dyDescent="0.25">
      <c r="A11" s="7" t="s">
        <v>39</v>
      </c>
      <c r="B11" s="59">
        <f>'MV Ratios'!B11</f>
        <v>0</v>
      </c>
      <c r="C11" s="59">
        <f>'MV Ratios'!C11</f>
        <v>0</v>
      </c>
      <c r="D11" s="73"/>
      <c r="E11" s="7" t="s">
        <v>39</v>
      </c>
      <c r="F11" s="26">
        <f>'Income Statement'!B5/'Balance Sheet'!B12</f>
        <v>10.670731707317072</v>
      </c>
      <c r="G11" s="26">
        <f>'Income Statement'!C5/'Balance Sheet'!C12</f>
        <v>9.9535962877030162</v>
      </c>
    </row>
    <row r="12" spans="1:7" ht="15.75" thickBot="1" x14ac:dyDescent="0.3">
      <c r="A12" s="7" t="s">
        <v>40</v>
      </c>
      <c r="B12" s="59">
        <f>'MV Ratios'!B12</f>
        <v>0</v>
      </c>
      <c r="C12" s="59">
        <f>'MV Ratios'!C12</f>
        <v>0</v>
      </c>
      <c r="D12" s="73"/>
      <c r="E12" s="7" t="s">
        <v>40</v>
      </c>
      <c r="F12" s="26">
        <f>'Income Statement'!B5/'Balance Sheet'!B13</f>
        <v>2.3322025684516596</v>
      </c>
      <c r="G12" s="26">
        <f>'Income Statement'!C5/'Balance Sheet'!C13</f>
        <v>2.3366013071895426</v>
      </c>
    </row>
    <row r="13" spans="1:7" ht="15.75" thickBot="1" x14ac:dyDescent="0.3">
      <c r="A13" s="17" t="s">
        <v>41</v>
      </c>
      <c r="B13" s="61"/>
      <c r="C13" s="61"/>
      <c r="D13" s="74"/>
      <c r="E13" s="17" t="s">
        <v>41</v>
      </c>
      <c r="F13" s="17"/>
      <c r="G13" s="17"/>
    </row>
    <row r="14" spans="1:7" x14ac:dyDescent="0.25">
      <c r="A14" s="99" t="s">
        <v>42</v>
      </c>
      <c r="B14" s="63">
        <f>'MV Ratios'!B14</f>
        <v>0</v>
      </c>
      <c r="C14" s="63">
        <f>'MV Ratios'!C14</f>
        <v>0</v>
      </c>
      <c r="D14" s="69"/>
      <c r="E14" s="99" t="s">
        <v>42</v>
      </c>
      <c r="F14" s="8">
        <f>'Balance Sheet'!B20/'Balance Sheet'!B13</f>
        <v>0.58445117518778777</v>
      </c>
      <c r="G14" s="8">
        <f>'Balance Sheet'!C20/'Balance Sheet'!C13</f>
        <v>0.54808823529411765</v>
      </c>
    </row>
    <row r="15" spans="1:7" x14ac:dyDescent="0.25">
      <c r="A15" s="99" t="s">
        <v>43</v>
      </c>
      <c r="B15" s="63">
        <f>'MV Ratios'!B15</f>
        <v>0</v>
      </c>
      <c r="C15" s="63">
        <f>'MV Ratios'!C15</f>
        <v>0</v>
      </c>
      <c r="D15" s="69"/>
      <c r="E15" s="99" t="s">
        <v>43</v>
      </c>
      <c r="F15" s="8">
        <f>'Balance Sheet'!B19/'Balance Sheet'!B13</f>
        <v>0.25721589532347955</v>
      </c>
      <c r="G15" s="8">
        <f>'Balance Sheet'!C19/'Balance Sheet'!C13</f>
        <v>0.22020152505446622</v>
      </c>
    </row>
    <row r="16" spans="1:7" x14ac:dyDescent="0.25">
      <c r="A16" s="99" t="s">
        <v>44</v>
      </c>
      <c r="B16" s="63">
        <f>'MV Ratios'!B16</f>
        <v>0</v>
      </c>
      <c r="C16" s="63">
        <f>'MV Ratios'!C16</f>
        <v>0</v>
      </c>
      <c r="D16" s="69"/>
      <c r="E16" s="99" t="s">
        <v>44</v>
      </c>
      <c r="F16" s="8">
        <f>'Balance Sheet'!B19/('Balance Sheet'!B23+'Balance Sheet'!B19)</f>
        <v>0.38232667026832345</v>
      </c>
      <c r="G16" s="8">
        <f>'Balance Sheet'!C19/('Balance Sheet'!C23+'Balance Sheet'!C19)</f>
        <v>0.32762560777957861</v>
      </c>
    </row>
    <row r="17" spans="1:7" x14ac:dyDescent="0.25">
      <c r="A17" s="99" t="s">
        <v>45</v>
      </c>
      <c r="B17" s="64">
        <f>'MV Ratios'!B17</f>
        <v>0</v>
      </c>
      <c r="C17" s="64">
        <f>'MV Ratios'!C17</f>
        <v>0</v>
      </c>
      <c r="D17" s="76"/>
      <c r="E17" s="99" t="s">
        <v>45</v>
      </c>
      <c r="F17" s="28">
        <f>'Balance Sheet'!B20/'Balance Sheet'!B23</f>
        <v>1.4064560896108971</v>
      </c>
      <c r="G17" s="28">
        <f>'Balance Sheet'!C20/'Balance Sheet'!C23</f>
        <v>1.2128213472177025</v>
      </c>
    </row>
    <row r="18" spans="1:7" ht="15.75" thickBot="1" x14ac:dyDescent="0.3">
      <c r="A18" s="99" t="s">
        <v>46</v>
      </c>
      <c r="B18" s="65">
        <f>'MV Ratios'!B18</f>
        <v>0</v>
      </c>
      <c r="C18" s="65">
        <f>'MV Ratios'!C18</f>
        <v>0</v>
      </c>
      <c r="D18" s="77"/>
      <c r="E18" s="99" t="s">
        <v>46</v>
      </c>
      <c r="F18" s="9">
        <f>'Balance Sheet'!B19/'Balance Sheet'!B23</f>
        <v>0.61897875764590637</v>
      </c>
      <c r="G18" s="9">
        <f>'Balance Sheet'!C19/'Balance Sheet'!C23</f>
        <v>0.48726663533041664</v>
      </c>
    </row>
    <row r="19" spans="1:7" ht="15.75" thickBot="1" x14ac:dyDescent="0.3">
      <c r="A19" s="17" t="s">
        <v>47</v>
      </c>
      <c r="B19" s="61"/>
      <c r="C19" s="61"/>
      <c r="D19" s="74"/>
      <c r="E19" s="17" t="s">
        <v>47</v>
      </c>
      <c r="F19" s="17"/>
      <c r="G19" s="17"/>
    </row>
    <row r="20" spans="1:7" x14ac:dyDescent="0.25">
      <c r="A20" s="7" t="s">
        <v>48</v>
      </c>
      <c r="B20" s="59">
        <f>'MV Ratios'!B20</f>
        <v>0</v>
      </c>
      <c r="C20" s="59">
        <f>'MV Ratios'!C20</f>
        <v>0</v>
      </c>
      <c r="D20" s="73"/>
      <c r="E20" s="7" t="s">
        <v>48</v>
      </c>
      <c r="F20" s="26">
        <f>'Income Statement'!B11/'Income Statement'!B12</f>
        <v>1.9697368421052632</v>
      </c>
      <c r="G20" s="26">
        <f>'Income Statement'!C11/'Income Statement'!C12</f>
        <v>3.3456000000000001</v>
      </c>
    </row>
    <row r="21" spans="1:7" ht="15.75" thickBot="1" x14ac:dyDescent="0.3">
      <c r="A21" s="7" t="s">
        <v>49</v>
      </c>
      <c r="B21" s="59">
        <f>'MV Ratios'!B21</f>
        <v>0</v>
      </c>
      <c r="C21" s="59">
        <f>'MV Ratios'!C21</f>
        <v>0</v>
      </c>
      <c r="D21" s="73"/>
      <c r="E21" s="7" t="s">
        <v>49</v>
      </c>
      <c r="F21" s="26">
        <f>('Income Statement'!B11+'Income Statement'!B10)/'Income Statement'!B12</f>
        <v>2.232894736842105</v>
      </c>
      <c r="G21" s="26">
        <f>('Income Statement'!C11+'Income Statement'!C10)/'Income Statement'!C12</f>
        <v>3.6480000000000001</v>
      </c>
    </row>
    <row r="22" spans="1:7" ht="15.75" thickBot="1" x14ac:dyDescent="0.3">
      <c r="A22" s="17" t="s">
        <v>50</v>
      </c>
      <c r="B22" s="61"/>
      <c r="C22" s="61"/>
      <c r="D22" s="74"/>
      <c r="E22" s="17" t="s">
        <v>50</v>
      </c>
      <c r="F22" s="17"/>
      <c r="G22" s="17"/>
    </row>
    <row r="23" spans="1:7" x14ac:dyDescent="0.25">
      <c r="A23" s="7" t="s">
        <v>51</v>
      </c>
      <c r="B23" s="65">
        <f>'MV Ratios'!B23</f>
        <v>0</v>
      </c>
      <c r="C23" s="65">
        <f>'MV Ratios'!C23</f>
        <v>0</v>
      </c>
      <c r="D23" s="77"/>
      <c r="E23" s="7" t="s">
        <v>51</v>
      </c>
      <c r="F23" s="9">
        <f>'Income Statement'!B7/'Income Statement'!B5</f>
        <v>0.15584415584415584</v>
      </c>
      <c r="G23" s="9">
        <f>'Income Statement'!C7/'Income Statement'!C5</f>
        <v>0.1655011655011655</v>
      </c>
    </row>
    <row r="24" spans="1:7" x14ac:dyDescent="0.25">
      <c r="A24" s="7" t="s">
        <v>52</v>
      </c>
      <c r="B24" s="65">
        <f>'MV Ratios'!B24</f>
        <v>0</v>
      </c>
      <c r="C24" s="65">
        <f>'MV Ratios'!C24</f>
        <v>0</v>
      </c>
      <c r="D24" s="77"/>
      <c r="E24" s="7" t="s">
        <v>52</v>
      </c>
      <c r="F24" s="9">
        <f>'Income Statement'!B11/'Income Statement'!B5</f>
        <v>3.8883116883116881E-2</v>
      </c>
      <c r="G24" s="9">
        <f>'Income Statement'!C11/'Income Statement'!C5</f>
        <v>6.0926573426573427E-2</v>
      </c>
    </row>
    <row r="25" spans="1:7" x14ac:dyDescent="0.25">
      <c r="A25" s="7" t="s">
        <v>53</v>
      </c>
      <c r="B25" s="63">
        <f>'MV Ratios'!B25</f>
        <v>0</v>
      </c>
      <c r="C25" s="63">
        <f>'MV Ratios'!C25</f>
        <v>0</v>
      </c>
      <c r="D25" s="69"/>
      <c r="E25" s="7" t="s">
        <v>53</v>
      </c>
      <c r="F25" s="8">
        <f>'Income Statement'!B15/'Income Statement'!B5</f>
        <v>1.1485714285714285E-2</v>
      </c>
      <c r="G25" s="8">
        <f>'Income Statement'!C15/'Income Statement'!C5</f>
        <v>2.5629370629370631E-2</v>
      </c>
    </row>
    <row r="26" spans="1:7" x14ac:dyDescent="0.25">
      <c r="A26" s="7" t="s">
        <v>54</v>
      </c>
      <c r="B26" s="63">
        <f>'MV Ratios'!B26</f>
        <v>0</v>
      </c>
      <c r="C26" s="63">
        <f>'MV Ratios'!C26</f>
        <v>0</v>
      </c>
      <c r="D26" s="69"/>
      <c r="E26" s="7" t="s">
        <v>54</v>
      </c>
      <c r="F26" s="8">
        <f>'Income Statement'!B15/'Balance Sheet'!B13</f>
        <v>2.6787012357644777E-2</v>
      </c>
      <c r="G26" s="8">
        <f>'Income Statement'!C15/'Balance Sheet'!C13</f>
        <v>5.9885620915032682E-2</v>
      </c>
    </row>
    <row r="27" spans="1:7" x14ac:dyDescent="0.25">
      <c r="A27" s="10" t="s">
        <v>55</v>
      </c>
      <c r="B27" s="66">
        <f>'MV Ratios'!B27</f>
        <v>0</v>
      </c>
      <c r="C27" s="66">
        <f>'MV Ratios'!C27</f>
        <v>0</v>
      </c>
      <c r="D27" s="69"/>
      <c r="E27" s="10" t="s">
        <v>55</v>
      </c>
      <c r="F27" s="20">
        <f>'Income Statement'!B15/'Balance Sheet'!B23</f>
        <v>6.4461769010536629E-2</v>
      </c>
      <c r="G27" s="20">
        <f>'Income Statement'!C15/'Balance Sheet'!C23</f>
        <v>0.13251618035217125</v>
      </c>
    </row>
    <row r="28" spans="1:7" ht="15.75" thickBot="1" x14ac:dyDescent="0.3">
      <c r="A28" s="19" t="s">
        <v>56</v>
      </c>
      <c r="B28" s="67">
        <f>'MV Ratios'!B28</f>
        <v>0</v>
      </c>
      <c r="C28" s="67">
        <f>'MV Ratios'!C28</f>
        <v>0</v>
      </c>
      <c r="D28" s="69"/>
      <c r="E28" s="19" t="s">
        <v>56</v>
      </c>
      <c r="F28" s="21">
        <f>'Income Statement'!B15/'Balance Sheet'!B23</f>
        <v>6.4461769010536629E-2</v>
      </c>
      <c r="G28" s="21">
        <f>'Income Statement'!C15/'Balance Sheet'!C23</f>
        <v>0.13251618035217125</v>
      </c>
    </row>
    <row r="31" spans="1:7" x14ac:dyDescent="0.25">
      <c r="A31" t="s">
        <v>66</v>
      </c>
      <c r="B31" s="97"/>
      <c r="C31" s="97"/>
      <c r="D31" s="183"/>
      <c r="E31" s="179" t="s">
        <v>66</v>
      </c>
      <c r="F31" s="180">
        <f>(F25*F12)/(1-F14)</f>
        <v>6.4461769010536615E-2</v>
      </c>
      <c r="G31" s="180">
        <f>(G25*G12)/(1-G14)</f>
        <v>0.13251618035217128</v>
      </c>
    </row>
    <row r="32" spans="1:7" x14ac:dyDescent="0.25">
      <c r="D32" s="79"/>
      <c r="F32" s="14"/>
      <c r="G32" s="14"/>
    </row>
    <row r="33" spans="1:8" x14ac:dyDescent="0.25">
      <c r="D33" s="80"/>
      <c r="F33" s="36"/>
      <c r="G33" s="36"/>
    </row>
    <row r="34" spans="1:8" s="57" customFormat="1" x14ac:dyDescent="0.25">
      <c r="A34" t="s">
        <v>70</v>
      </c>
      <c r="B34" s="98"/>
      <c r="C34" s="98"/>
      <c r="D34" s="78"/>
      <c r="E34" s="179" t="s">
        <v>70</v>
      </c>
      <c r="F34" s="181">
        <f>1.2*('Balance Sheet'!B9-'Balance Sheet'!B18)/'Balance Sheet'!B13+1.4*('Balance Sheet'!B22/'Balance Sheet'!B13)+3.3*('Income Statement'!B11/'Balance Sheet'!B13)+0.6*(F41/'Balance Sheet'!B20)+('Income Statement'!B5/'Balance Sheet'!B13)</f>
        <v>3.9181499317630153</v>
      </c>
      <c r="G34" s="181">
        <f>1.2*('Balance Sheet'!C9-'Balance Sheet'!C18)/'Balance Sheet'!C13+1.4*('Balance Sheet'!C22/'Balance Sheet'!C13)+3.3*('Income Statement'!C11/'Balance Sheet'!C13)+0.6*(G41/'Balance Sheet'!C20)+('Income Statement'!C5/'Balance Sheet'!C13)</f>
        <v>4.8366057352926566</v>
      </c>
    </row>
    <row r="35" spans="1:8" x14ac:dyDescent="0.25">
      <c r="A35" t="s">
        <v>71</v>
      </c>
      <c r="B35" s="98"/>
      <c r="C35" s="98"/>
      <c r="E35" s="179" t="s">
        <v>71</v>
      </c>
      <c r="F35" s="182">
        <f>0.717*('Balance Sheet'!B9-'Balance Sheet'!B18)/'Balance Sheet'!B13+0.847*('Balance Sheet'!B22/'Balance Sheet'!B13)+3.107*('Income Statement'!B11/'Balance Sheet'!B13)+0.42*('Balance Sheet'!B23/'Balance Sheet'!B20)+0.998*('Income Statement'!B5/'Balance Sheet'!B13)</f>
        <v>3.3495293335216352</v>
      </c>
      <c r="G35" s="182">
        <f>0.717*('Balance Sheet'!C9-'Balance Sheet'!C18)/'Balance Sheet'!C13+0.847*('Balance Sheet'!C22/'Balance Sheet'!C13)+3.107*('Income Statement'!C11/'Balance Sheet'!C13)+0.42*('Balance Sheet'!C23/'Balance Sheet'!C20)+0.998*('Income Statement'!C5/'Balance Sheet'!C13)</f>
        <v>3.5516390227330388</v>
      </c>
    </row>
    <row r="37" spans="1:8" s="57" customFormat="1" x14ac:dyDescent="0.25">
      <c r="A37"/>
      <c r="B37"/>
      <c r="C37"/>
      <c r="D37" s="78"/>
      <c r="E37"/>
      <c r="F37"/>
      <c r="G37"/>
    </row>
    <row r="38" spans="1:8" s="57" customFormat="1" x14ac:dyDescent="0.25">
      <c r="A38" s="35" t="s">
        <v>68</v>
      </c>
      <c r="B38"/>
      <c r="C38"/>
      <c r="D38" s="78"/>
      <c r="E38" s="35" t="s">
        <v>68</v>
      </c>
      <c r="F38"/>
      <c r="G38"/>
    </row>
    <row r="39" spans="1:8" s="57" customFormat="1" x14ac:dyDescent="0.25">
      <c r="A39" t="s">
        <v>67</v>
      </c>
      <c r="B39" s="36">
        <v>100000</v>
      </c>
      <c r="C39" s="36">
        <v>100000</v>
      </c>
      <c r="D39" s="78"/>
      <c r="E39" t="s">
        <v>67</v>
      </c>
      <c r="F39" s="36">
        <v>100000</v>
      </c>
      <c r="G39" s="36">
        <v>100000</v>
      </c>
    </row>
    <row r="40" spans="1:8" s="57" customFormat="1" x14ac:dyDescent="0.25">
      <c r="A40" t="s">
        <v>69</v>
      </c>
      <c r="B40" s="38">
        <v>8.8439999999999994</v>
      </c>
      <c r="C40" s="38">
        <v>17.592000000000002</v>
      </c>
      <c r="D40" s="78"/>
      <c r="E40" t="s">
        <v>69</v>
      </c>
      <c r="F40" s="38">
        <v>8.8439999999999994</v>
      </c>
      <c r="G40" s="38">
        <v>17.592000000000002</v>
      </c>
    </row>
    <row r="41" spans="1:8" x14ac:dyDescent="0.25">
      <c r="A41" s="100" t="s">
        <v>78</v>
      </c>
      <c r="B41" s="101">
        <f>B39*B40</f>
        <v>884399.99999999988</v>
      </c>
      <c r="C41" s="101">
        <f>C39*C40</f>
        <v>1759200.0000000002</v>
      </c>
      <c r="E41" s="100" t="s">
        <v>78</v>
      </c>
      <c r="F41" s="101">
        <f>F39*F40</f>
        <v>884399.99999999988</v>
      </c>
      <c r="G41" s="101">
        <f>G39*G40</f>
        <v>1759200.0000000002</v>
      </c>
    </row>
    <row r="44" spans="1:8" x14ac:dyDescent="0.25">
      <c r="E44" t="s">
        <v>66</v>
      </c>
      <c r="F44" s="14">
        <v>6.4461769010536615E-2</v>
      </c>
      <c r="G44" s="14">
        <v>0.13251618035217128</v>
      </c>
      <c r="H44" s="95">
        <v>0.18200000000000002</v>
      </c>
    </row>
    <row r="45" spans="1:8" x14ac:dyDescent="0.25">
      <c r="E45" t="s">
        <v>82</v>
      </c>
      <c r="F45" s="36">
        <v>884400</v>
      </c>
      <c r="G45" s="36">
        <v>1759200</v>
      </c>
    </row>
    <row r="46" spans="1:8" x14ac:dyDescent="0.25">
      <c r="E46" t="s">
        <v>70</v>
      </c>
      <c r="F46" s="37">
        <v>3.9181499317630153</v>
      </c>
      <c r="G46" s="37">
        <v>4.8366057352926557</v>
      </c>
    </row>
    <row r="47" spans="1:8" x14ac:dyDescent="0.25">
      <c r="E47" t="s">
        <v>71</v>
      </c>
      <c r="F47" s="39">
        <v>3.3495293335216352</v>
      </c>
      <c r="G47" s="39">
        <v>3.5516390227330388</v>
      </c>
    </row>
  </sheetData>
  <printOptions gridLines="1" gridLinesSet="0"/>
  <pageMargins left="0.25" right="0.2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Income Statement</vt:lpstr>
      <vt:lpstr>Balance Sheet</vt:lpstr>
      <vt:lpstr>Liquidity Ratios</vt:lpstr>
      <vt:lpstr>Efficiency Ratios</vt:lpstr>
      <vt:lpstr>Leverge Ratios</vt:lpstr>
      <vt:lpstr>Coverage Ratios</vt:lpstr>
      <vt:lpstr>Profitability Ratios</vt:lpstr>
      <vt:lpstr>MV Ratios</vt:lpstr>
      <vt:lpstr>Du Pont ROE and Z score</vt:lpstr>
      <vt:lpstr>Analysis</vt:lpstr>
      <vt:lpstr>Automatic Analysis</vt:lpstr>
      <vt:lpstr>EVA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Hesham Merdad</cp:lastModifiedBy>
  <cp:lastPrinted>2008-10-20T22:29:55Z</cp:lastPrinted>
  <dcterms:created xsi:type="dcterms:W3CDTF">1995-10-30T22:25:51Z</dcterms:created>
  <dcterms:modified xsi:type="dcterms:W3CDTF">2012-09-29T03:27:19Z</dcterms:modified>
</cp:coreProperties>
</file>